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firstSheet="4" activeTab="5"/>
  </bookViews>
  <sheets>
    <sheet name="Tafel § 38" sheetId="1" state="hidden" r:id="rId1"/>
    <sheet name="Tafel § 41" sheetId="2" state="hidden" r:id="rId2"/>
    <sheet name="Honorar" sheetId="3" state="hidden" r:id="rId3"/>
    <sheet name="LPH 1-5" sheetId="4" state="hidden" r:id="rId4"/>
    <sheet name="BITTE LESEN !" sheetId="5" r:id="rId5"/>
    <sheet name="STAMMDATEN" sheetId="6" r:id="rId6"/>
    <sheet name="RECHNUNG" sheetId="7" r:id="rId7"/>
  </sheets>
  <definedNames>
    <definedName name="_xlnm.Print_Area" localSheetId="6">'RECHNUNG'!$A:$IV</definedName>
    <definedName name="_xlnm.Print_Area" localSheetId="5">'STAMMDATEN'!$A:$IV</definedName>
  </definedNames>
  <calcPr fullCalcOnLoad="1"/>
</workbook>
</file>

<file path=xl/sharedStrings.xml><?xml version="1.0" encoding="utf-8"?>
<sst xmlns="http://schemas.openxmlformats.org/spreadsheetml/2006/main" count="356" uniqueCount="225">
  <si>
    <t>A</t>
  </si>
  <si>
    <t>a</t>
  </si>
  <si>
    <t>b</t>
  </si>
  <si>
    <t>b'</t>
  </si>
  <si>
    <t>c</t>
  </si>
  <si>
    <t>c'</t>
  </si>
  <si>
    <t>B</t>
  </si>
  <si>
    <t>vereinbart sind ( X )</t>
  </si>
  <si>
    <t>Zone I</t>
  </si>
  <si>
    <t>Vonsatz</t>
  </si>
  <si>
    <t>Zone II</t>
  </si>
  <si>
    <t>Viertelsatz</t>
  </si>
  <si>
    <t>Zone III</t>
  </si>
  <si>
    <t>Mittelsatz</t>
  </si>
  <si>
    <t>Zone V</t>
  </si>
  <si>
    <t>Dreiviertelsatz</t>
  </si>
  <si>
    <t>Zone IV</t>
  </si>
  <si>
    <t>Bissatz</t>
  </si>
  <si>
    <t>Abrechnung in</t>
  </si>
  <si>
    <t>Honorarabrechnung</t>
  </si>
  <si>
    <t>Projekt:</t>
  </si>
  <si>
    <t>MwSt</t>
  </si>
  <si>
    <t>Rechnungsbetrag</t>
  </si>
  <si>
    <t>Honorarermittlung für</t>
  </si>
  <si>
    <t>Bauvorhaben:</t>
  </si>
  <si>
    <t>Herr</t>
  </si>
  <si>
    <t>Anrede:</t>
  </si>
  <si>
    <t>Justus Müller</t>
  </si>
  <si>
    <t>Wendeplatte 19</t>
  </si>
  <si>
    <t>70711 Stuttgart</t>
  </si>
  <si>
    <t>00-2599</t>
  </si>
  <si>
    <t>Baustelle:</t>
  </si>
  <si>
    <t>Plz. / Ort:</t>
  </si>
  <si>
    <t>Name:</t>
  </si>
  <si>
    <t>Ort / Strasse:</t>
  </si>
  <si>
    <t>Reutlingen / Steinenbergstrasse 35</t>
  </si>
  <si>
    <t>AZ</t>
  </si>
  <si>
    <t>Datum</t>
  </si>
  <si>
    <t>Nebenkosten</t>
  </si>
  <si>
    <t>Gesamt</t>
  </si>
  <si>
    <t>Anteil</t>
  </si>
  <si>
    <t>Tafel  A</t>
  </si>
  <si>
    <t>Projekt-Nr.:</t>
  </si>
  <si>
    <t>Bauherrschaft:</t>
  </si>
  <si>
    <t>für:</t>
  </si>
  <si>
    <t>Veränderung</t>
  </si>
  <si>
    <t>Proj.- /Rechn.-Nr.:</t>
  </si>
  <si>
    <t>Einfamilienwohnhaus</t>
  </si>
  <si>
    <t>D</t>
  </si>
  <si>
    <t>C</t>
  </si>
  <si>
    <t xml:space="preserve">A </t>
  </si>
  <si>
    <t>Nr.</t>
  </si>
  <si>
    <t>vereinbarter Honorarsatz:</t>
  </si>
  <si>
    <t>ZONE</t>
  </si>
  <si>
    <t>vereinbarte Honorarzone:</t>
  </si>
  <si>
    <t>Kostenschätzung</t>
  </si>
  <si>
    <t>Kostenberechnung</t>
  </si>
  <si>
    <t>Kostenanschlag</t>
  </si>
  <si>
    <t>Kostenfeststellung</t>
  </si>
  <si>
    <t>lt. Vertrag vom:</t>
  </si>
  <si>
    <t>abzurechnende Leistungen lt. Vertrag vom:</t>
  </si>
  <si>
    <t>daraus erbrachte Leistung</t>
  </si>
  <si>
    <t>von</t>
  </si>
  <si>
    <t>bis</t>
  </si>
  <si>
    <t>Nettosumme</t>
  </si>
  <si>
    <t>Honorarzone I</t>
  </si>
  <si>
    <t>nächstniedr.</t>
  </si>
  <si>
    <t>Baukosten</t>
  </si>
  <si>
    <t>GL</t>
  </si>
  <si>
    <t>Punkte</t>
  </si>
  <si>
    <t>Summe</t>
  </si>
  <si>
    <t>Punkteermittlung</t>
  </si>
  <si>
    <t>Honorar</t>
  </si>
  <si>
    <t xml:space="preserve">z.B.( 3% ) eintragen </t>
  </si>
  <si>
    <t>INTERN !</t>
  </si>
  <si>
    <t>SATZ</t>
  </si>
  <si>
    <t>( X )</t>
  </si>
  <si>
    <t>%</t>
  </si>
  <si>
    <t>nächsthöh.</t>
  </si>
  <si>
    <t>NK</t>
  </si>
  <si>
    <t>Strasse / Nr.:</t>
  </si>
  <si>
    <t>bitte bei Schriftverkehr und Zahlungen angeben</t>
  </si>
  <si>
    <t>vom</t>
  </si>
  <si>
    <t>Ges.</t>
  </si>
  <si>
    <t>Grundleistung</t>
  </si>
  <si>
    <t>wenn Skontovereinbarung</t>
  </si>
  <si>
    <t>Zuschlag</t>
  </si>
  <si>
    <t>HO</t>
  </si>
  <si>
    <t>ZU</t>
  </si>
  <si>
    <t>Honorar ohne</t>
  </si>
  <si>
    <t>Nebenkosten NK</t>
  </si>
  <si>
    <t>Schlussrechnung</t>
  </si>
  <si>
    <t>Wenn besondere Leistungen ( BL ) nach HOAI § 15 vereinbart sind, bitte gesondert abrechnen !</t>
  </si>
  <si>
    <t>ab Datum</t>
  </si>
  <si>
    <t>€</t>
  </si>
  <si>
    <t>Leistungsphasen</t>
  </si>
  <si>
    <t>separat abgerechnet werden !</t>
  </si>
  <si>
    <t>Prozente von begonnenen Leistungsphasen bis zur letzten AZ weiter geführt wird !</t>
  </si>
  <si>
    <t>Korrekturbetrag</t>
  </si>
  <si>
    <t>Netto</t>
  </si>
  <si>
    <t>nur gültig mit der aktuellen</t>
  </si>
  <si>
    <t>Zahlungsanforderung !</t>
  </si>
  <si>
    <t>Danach bitte löschen !</t>
  </si>
  <si>
    <t>aktuell &gt;&gt;&gt;&gt;&gt;</t>
  </si>
  <si>
    <t>Datum / Zeichen:</t>
  </si>
  <si>
    <t>die Zahlungsanforderung bearbeitet ( Kürzel ):</t>
  </si>
  <si>
    <t>til</t>
  </si>
  <si>
    <t>Tafel  B</t>
  </si>
  <si>
    <t>z.B.( 6% ) eintragen, wenn hier</t>
  </si>
  <si>
    <t>kein Eintrag erfolgt</t>
  </si>
  <si>
    <t>müssen die Nebenkosten</t>
  </si>
  <si>
    <t>Netto 1</t>
  </si>
  <si>
    <t>Netto 2</t>
  </si>
  <si>
    <t>Tafel  C1</t>
  </si>
  <si>
    <t>Abzug</t>
  </si>
  <si>
    <t>anteilig&gt;&gt;&gt;</t>
  </si>
  <si>
    <t>Kontrolle</t>
  </si>
  <si>
    <t>Maximal</t>
  </si>
  <si>
    <t>Rechnung&gt;&gt;&gt;&gt;&gt;&gt;</t>
  </si>
  <si>
    <t>beauftragt in %</t>
  </si>
  <si>
    <t>beauftragt zu --%</t>
  </si>
  <si>
    <t>für</t>
  </si>
  <si>
    <t>Leistungsbild</t>
  </si>
  <si>
    <t>GL Ges.</t>
  </si>
  <si>
    <t>incl. Zuschlag</t>
  </si>
  <si>
    <t>incl. Nebenkosten</t>
  </si>
  <si>
    <t>bitte Datum eintragen!</t>
  </si>
  <si>
    <t>Veränderung wenn Auftrag &lt; = 100%</t>
  </si>
  <si>
    <t>aus Netto 2</t>
  </si>
  <si>
    <t>die Zahlung sollte 10 Tage</t>
  </si>
  <si>
    <t>nach Rechnungseingang erfolgen</t>
  </si>
  <si>
    <t>Bei Eingabe der AZ-Nr.und dem Datum ist darauf zu achten, dass die Eintragungen der</t>
  </si>
  <si>
    <t>MwSt für Abrechnung</t>
  </si>
  <si>
    <t>verändert &gt;&gt;&gt;</t>
  </si>
  <si>
    <t>aktuell &gt;&gt;&gt;&gt;&gt;&gt;</t>
  </si>
  <si>
    <t>Max</t>
  </si>
  <si>
    <t>Differenz</t>
  </si>
  <si>
    <t xml:space="preserve">  Mwst </t>
  </si>
  <si>
    <t>A &gt;&gt;</t>
  </si>
  <si>
    <t>am</t>
  </si>
  <si>
    <t>Wechsel der MwSt</t>
  </si>
  <si>
    <t>der MwSt</t>
  </si>
  <si>
    <t>Wechsel MwSt in Zahlung</t>
  </si>
  <si>
    <t>Erreichung 100% in AZ</t>
  </si>
  <si>
    <t xml:space="preserve">Schlussrechnung </t>
  </si>
  <si>
    <t>Währunsbezeichnung</t>
  </si>
  <si>
    <t>DM</t>
  </si>
  <si>
    <t>Umstellung</t>
  </si>
  <si>
    <t>Abz.</t>
  </si>
  <si>
    <t>(X) wenn Angabe in</t>
  </si>
  <si>
    <t>Fläche ha</t>
  </si>
  <si>
    <t>Zone 1</t>
  </si>
  <si>
    <t>Zone 2</t>
  </si>
  <si>
    <t>Zone 3</t>
  </si>
  <si>
    <t>Zone 4</t>
  </si>
  <si>
    <t>Zone 5</t>
  </si>
  <si>
    <t>Tafel § 41</t>
  </si>
  <si>
    <t>Bebauungsplan</t>
  </si>
  <si>
    <t>Vorentwurf</t>
  </si>
  <si>
    <t>Entwurf</t>
  </si>
  <si>
    <t xml:space="preserve">Planfassung </t>
  </si>
  <si>
    <t>Bewertung</t>
  </si>
  <si>
    <t>§</t>
  </si>
  <si>
    <t>Nach HOAI §</t>
  </si>
  <si>
    <t>aktuell</t>
  </si>
  <si>
    <t>nach HOAI § 38</t>
  </si>
  <si>
    <t>Flächennutzungsplan</t>
  </si>
  <si>
    <t>VE</t>
  </si>
  <si>
    <t>Kostenermittlung</t>
  </si>
  <si>
    <t>Tafel § 38</t>
  </si>
  <si>
    <t>Veränderbare Bewertungen</t>
  </si>
  <si>
    <t>L-Ph</t>
  </si>
  <si>
    <t>freie Eingabe</t>
  </si>
  <si>
    <t>&gt;&gt;&gt;&gt;</t>
  </si>
  <si>
    <t>= Umrechnugsfaktor ggf. ändern !</t>
  </si>
  <si>
    <t>nach HOAI § 41</t>
  </si>
  <si>
    <t>Zuschläge ( ZU ) eintragen</t>
  </si>
  <si>
    <t xml:space="preserve">Faktor DM &lt;&gt; €  </t>
  </si>
  <si>
    <t>Erfolgt kein Eintrag, wird mit der "von" -Bewertung gerechnet !</t>
  </si>
  <si>
    <t>Text max 36 Zeichen incl. Leerzeichen</t>
  </si>
  <si>
    <t>&gt;&gt;&gt;</t>
  </si>
  <si>
    <t>a = tatsächliche Kosten</t>
  </si>
  <si>
    <t>a' = tatsächliches Honorar</t>
  </si>
  <si>
    <t>b = nächstniedr. Kosten</t>
  </si>
  <si>
    <t>b' = nächstniedr. Honorar</t>
  </si>
  <si>
    <t>c = nächsthöhere Kosten</t>
  </si>
  <si>
    <t>c' = nächsthöheres Honorar</t>
  </si>
  <si>
    <t>Steuercode</t>
  </si>
  <si>
    <t>AZ =</t>
  </si>
  <si>
    <t>1 = 25</t>
  </si>
  <si>
    <t xml:space="preserve">1 </t>
  </si>
  <si>
    <t>2</t>
  </si>
  <si>
    <t>Schlussr. =</t>
  </si>
  <si>
    <t>2 = 30</t>
  </si>
  <si>
    <t>1 - 2</t>
  </si>
  <si>
    <r>
      <t xml:space="preserve">Zuschlag  </t>
    </r>
    <r>
      <rPr>
        <b/>
        <sz val="10"/>
        <rFont val="Arial"/>
        <family val="2"/>
      </rPr>
      <t>(ZU)</t>
    </r>
  </si>
  <si>
    <r>
      <t xml:space="preserve">Grundleistung </t>
    </r>
    <r>
      <rPr>
        <b/>
        <sz val="10"/>
        <rFont val="Arial"/>
        <family val="2"/>
      </rPr>
      <t>(GL)</t>
    </r>
  </si>
  <si>
    <r>
      <t xml:space="preserve">Nebenkosten </t>
    </r>
    <r>
      <rPr>
        <b/>
        <sz val="10"/>
        <rFont val="Arial"/>
        <family val="2"/>
      </rPr>
      <t>(NK)</t>
    </r>
  </si>
  <si>
    <r>
      <t xml:space="preserve">§ 36a </t>
    </r>
    <r>
      <rPr>
        <sz val="9"/>
        <rFont val="Arial"/>
        <family val="2"/>
      </rPr>
      <t>(2)</t>
    </r>
  </si>
  <si>
    <t>daraus erbrachte Leistung (1 - 100%)</t>
  </si>
  <si>
    <t>Summe 1</t>
  </si>
  <si>
    <t>1 - 5</t>
  </si>
  <si>
    <t>Umstellung der MwSt:</t>
  </si>
  <si>
    <t xml:space="preserve">anrechenbare Nettobaukosten lt. Kostenermittlungen gem. § 35 HOAI </t>
  </si>
  <si>
    <t>daraus errechnetes Honorar für Grundleistungen</t>
  </si>
  <si>
    <t>sonstige städtebaul. Leistungen lt. § 42</t>
  </si>
  <si>
    <t>A Grundleistungen</t>
  </si>
  <si>
    <t>C Nebenkostenpauschale (NK)</t>
  </si>
  <si>
    <t>L-ph. Beauftragt</t>
  </si>
  <si>
    <t>bei 100% ohne Nebenkosten</t>
  </si>
  <si>
    <t>Netto gesamt</t>
  </si>
  <si>
    <t>= Steuercode in "RECHNUNG A 37"</t>
  </si>
  <si>
    <t>Summe 2</t>
  </si>
  <si>
    <t>bei einer Beauftragung von</t>
  </si>
  <si>
    <t>= Anzahl der Beauftragten Leistungsphasen</t>
  </si>
  <si>
    <t>Ermitteln von Aufgabenstellung u. -Umfang</t>
  </si>
  <si>
    <t>Ermitteln von Planungsvorgaben</t>
  </si>
  <si>
    <t>B Zuschläge</t>
  </si>
  <si>
    <t>Begrüdung</t>
  </si>
  <si>
    <t>X</t>
  </si>
  <si>
    <t>max 23 Zeichen incl. Leerzeichen</t>
  </si>
  <si>
    <t>V38-6</t>
  </si>
  <si>
    <t>ha &gt;= 5 werden in dieser Version nicht berechnet!</t>
  </si>
  <si>
    <t xml:space="preserve">Sie können ausschliesslich den § 41dieser Demoversion auf ihre Funktionen testen. </t>
  </si>
  <si>
    <t>Einschränkungen für die zu berechnenden Einheiten zur Kostenermittlungen:</t>
  </si>
</sst>
</file>

<file path=xl/styles.xml><?xml version="1.0" encoding="utf-8"?>
<styleSheet xmlns="http://schemas.openxmlformats.org/spreadsheetml/2006/main">
  <numFmts count="6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HAUS&quot;\ 0"/>
    <numFmt numFmtId="174" formatCode="0.00000\ &quot; &quot;"/>
    <numFmt numFmtId="175" formatCode="0.00000\ &quot;DM &quot;"/>
    <numFmt numFmtId="176" formatCode="#,##0.00_ ;[Red]\-#,##0.00\ "/>
    <numFmt numFmtId="177" formatCode="#,##0.00&quot;DM&quot;"/>
    <numFmt numFmtId="178" formatCode="#,##0.00\ &quot;DM&quot;"/>
    <numFmt numFmtId="179" formatCode="0&quot;.&quot;"/>
    <numFmt numFmtId="180" formatCode="0&quot;. AZ&quot;"/>
    <numFmt numFmtId="181" formatCode="yyyy\-mm\-dd"/>
    <numFmt numFmtId="182" formatCode="&quot;-&quot;\ \ 0"/>
    <numFmt numFmtId="183" formatCode="&quot;-&quot;\ 0"/>
    <numFmt numFmtId="184" formatCode="d/m/yy\ h:mm"/>
    <numFmt numFmtId="185" formatCode="0.00000000%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0.000000000%"/>
    <numFmt numFmtId="195" formatCode="dd/\ mmm\ yyyy"/>
    <numFmt numFmtId="196" formatCode="00"/>
    <numFmt numFmtId="197" formatCode="&quot;/&quot;"/>
    <numFmt numFmtId="198" formatCode="&quot;/&quot;###"/>
    <numFmt numFmtId="199" formatCode="dd/mm/yy"/>
    <numFmt numFmtId="200" formatCode="0.00_ ;\-0.00\ "/>
    <numFmt numFmtId="201" formatCode="&quot;=&quot;\ 0.00"/>
    <numFmt numFmtId="202" formatCode="dd\ mm\ yy"/>
    <numFmt numFmtId="203" formatCode="dd\ mm\ yyyy"/>
    <numFmt numFmtId="204" formatCode="&quot;=&quot;\ 0,000.00"/>
    <numFmt numFmtId="205" formatCode="0_ ;[Red]\-0\ "/>
    <numFmt numFmtId="206" formatCode="0.0"/>
    <numFmt numFmtId="207" formatCode="0_ ;\-0\ "/>
    <numFmt numFmtId="208" formatCode="&quot;+&quot;\ #,##0.00"/>
    <numFmt numFmtId="209" formatCode="&quot;Summe L-Ph&quot;\ 0"/>
    <numFmt numFmtId="210" formatCode="&quot;Su L-Ph =&quot;\ 0"/>
    <numFmt numFmtId="211" formatCode="&quot;Su. L-Ph =&quot;\ 0"/>
    <numFmt numFmtId="212" formatCode="&quot;-&quot;\ 0%"/>
    <numFmt numFmtId="213" formatCode="&quot;/&quot;00"/>
    <numFmt numFmtId="214" formatCode="0000"/>
    <numFmt numFmtId="215" formatCode="&quot;für&quot;\ 0\ &quot;Gebäude&quot;"/>
    <numFmt numFmtId="216" formatCode="&quot;€ für&quot;\ 0\ &quot;Gebäude&quot;"/>
  </numFmts>
  <fonts count="48">
    <font>
      <sz val="10"/>
      <name val="Arial"/>
      <family val="0"/>
    </font>
    <font>
      <sz val="8"/>
      <name val="UniversCond"/>
      <family val="2"/>
    </font>
    <font>
      <sz val="8"/>
      <name val="UniversCondLight"/>
      <family val="0"/>
    </font>
    <font>
      <sz val="8"/>
      <color indexed="10"/>
      <name val="UniversCondLight"/>
      <family val="2"/>
    </font>
    <font>
      <sz val="8.5"/>
      <name val="MS Sans Serif"/>
      <family val="2"/>
    </font>
    <font>
      <b/>
      <sz val="8.5"/>
      <color indexed="10"/>
      <name val="MS Sans Serif"/>
      <family val="2"/>
    </font>
    <font>
      <sz val="10"/>
      <name val="MS Sans Serif"/>
      <family val="2"/>
    </font>
    <font>
      <b/>
      <sz val="8.5"/>
      <name val="MS Sans Serif"/>
      <family val="2"/>
    </font>
    <font>
      <b/>
      <sz val="8.5"/>
      <color indexed="18"/>
      <name val="MS Sans Serif"/>
      <family val="2"/>
    </font>
    <font>
      <sz val="6"/>
      <name val="MS Sans Serif"/>
      <family val="2"/>
    </font>
    <font>
      <b/>
      <sz val="8.5"/>
      <color indexed="17"/>
      <name val="MS Sans Serif"/>
      <family val="2"/>
    </font>
    <font>
      <b/>
      <sz val="8.5"/>
      <color indexed="60"/>
      <name val="MS Sans Serif"/>
      <family val="2"/>
    </font>
    <font>
      <b/>
      <sz val="8.5"/>
      <color indexed="9"/>
      <name val="MS Sans Serif"/>
      <family val="2"/>
    </font>
    <font>
      <sz val="13.5"/>
      <name val="MS Sans Serif"/>
      <family val="2"/>
    </font>
    <font>
      <sz val="8.5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12"/>
      <color indexed="43"/>
      <name val="Arial"/>
      <family val="2"/>
    </font>
    <font>
      <b/>
      <sz val="12"/>
      <name val="Arial"/>
      <family val="2"/>
    </font>
    <font>
      <b/>
      <sz val="13.5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8.5"/>
      <color indexed="12"/>
      <name val="Arial"/>
      <family val="2"/>
    </font>
    <font>
      <b/>
      <sz val="8"/>
      <name val="Arial"/>
      <family val="2"/>
    </font>
    <font>
      <b/>
      <sz val="8.5"/>
      <color indexed="53"/>
      <name val="Arial"/>
      <family val="2"/>
    </font>
    <font>
      <b/>
      <sz val="9"/>
      <name val="Arial"/>
      <family val="2"/>
    </font>
    <font>
      <sz val="8.5"/>
      <color indexed="10"/>
      <name val="Arial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b/>
      <sz val="6"/>
      <color indexed="12"/>
      <name val="Arial"/>
      <family val="2"/>
    </font>
    <font>
      <sz val="8.5"/>
      <color indexed="49"/>
      <name val="Arial"/>
      <family val="2"/>
    </font>
    <font>
      <sz val="8"/>
      <color indexed="10"/>
      <name val="Arial"/>
      <family val="2"/>
    </font>
    <font>
      <b/>
      <sz val="8.5"/>
      <color indexed="10"/>
      <name val="Arial"/>
      <family val="2"/>
    </font>
    <font>
      <b/>
      <sz val="10"/>
      <color indexed="10"/>
      <name val="Arial"/>
      <family val="2"/>
    </font>
    <font>
      <sz val="6"/>
      <color indexed="47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20"/>
      <color indexed="55"/>
      <name val="Swis721 BlkOul BT"/>
      <family val="5"/>
    </font>
    <font>
      <sz val="48"/>
      <color indexed="23"/>
      <name val="Swis721 BlkOul BT"/>
      <family val="5"/>
    </font>
    <font>
      <sz val="14"/>
      <name val="Arial"/>
      <family val="2"/>
    </font>
    <font>
      <u val="single"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hair">
        <color indexed="62"/>
      </right>
      <top>
        <color indexed="63"/>
      </top>
      <bottom style="hair">
        <color indexed="6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thin">
        <color indexed="62"/>
      </right>
      <top style="hair">
        <color indexed="62"/>
      </top>
      <bottom style="double">
        <color indexed="62"/>
      </bottom>
    </border>
    <border>
      <left style="hair">
        <color indexed="14"/>
      </left>
      <right>
        <color indexed="63"/>
      </right>
      <top style="hair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14"/>
      </bottom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62"/>
      </left>
      <right style="hair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62"/>
      </left>
      <right>
        <color indexed="63"/>
      </right>
      <top>
        <color indexed="63"/>
      </top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 style="hair">
        <color indexed="62"/>
      </right>
      <top style="hair">
        <color indexed="62"/>
      </top>
      <bottom>
        <color indexed="63"/>
      </bottom>
    </border>
    <border>
      <left style="hair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14"/>
      </top>
      <bottom style="thin">
        <color indexed="62"/>
      </bottom>
    </border>
    <border>
      <left>
        <color indexed="63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thin">
        <color indexed="14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62"/>
      </left>
      <right style="hair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62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 style="hair">
        <color indexed="14"/>
      </bottom>
    </border>
    <border>
      <left style="thin">
        <color indexed="62"/>
      </left>
      <right>
        <color indexed="63"/>
      </right>
      <top>
        <color indexed="63"/>
      </top>
      <bottom style="hair">
        <color indexed="62"/>
      </bottom>
    </border>
    <border>
      <left style="thin">
        <color indexed="62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3" fillId="0" borderId="1" applyFont="0" applyFill="0" applyBorder="0" applyAlignment="0" applyProtection="0"/>
    <xf numFmtId="1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/>
      <protection hidden="1"/>
    </xf>
    <xf numFmtId="175" fontId="4" fillId="3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7" fillId="4" borderId="0" xfId="0" applyFont="1" applyFill="1" applyBorder="1" applyAlignment="1" applyProtection="1">
      <alignment horizontal="center"/>
      <protection hidden="1"/>
    </xf>
    <xf numFmtId="0" fontId="14" fillId="5" borderId="2" xfId="0" applyFont="1" applyFill="1" applyBorder="1" applyAlignment="1" applyProtection="1">
      <alignment/>
      <protection hidden="1"/>
    </xf>
    <xf numFmtId="0" fontId="0" fillId="5" borderId="3" xfId="0" applyFont="1" applyFill="1" applyBorder="1" applyAlignment="1" applyProtection="1">
      <alignment/>
      <protection hidden="1"/>
    </xf>
    <xf numFmtId="9" fontId="14" fillId="6" borderId="4" xfId="23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/>
      <protection hidden="1"/>
    </xf>
    <xf numFmtId="0" fontId="28" fillId="7" borderId="0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9" fontId="29" fillId="0" borderId="0" xfId="23" applyFont="1" applyBorder="1" applyAlignment="1" applyProtection="1">
      <alignment horizontal="center"/>
      <protection hidden="1"/>
    </xf>
    <xf numFmtId="0" fontId="14" fillId="8" borderId="0" xfId="0" applyFont="1" applyFill="1" applyBorder="1" applyAlignment="1" applyProtection="1">
      <alignment horizontal="center"/>
      <protection hidden="1"/>
    </xf>
    <xf numFmtId="4" fontId="14" fillId="0" borderId="0" xfId="0" applyNumberFormat="1" applyFont="1" applyBorder="1" applyAlignment="1" applyProtection="1">
      <alignment horizontal="center"/>
      <protection hidden="1"/>
    </xf>
    <xf numFmtId="9" fontId="14" fillId="6" borderId="2" xfId="0" applyNumberFormat="1" applyFont="1" applyFill="1" applyBorder="1" applyAlignment="1" applyProtection="1">
      <alignment horizontal="center" vertical="center"/>
      <protection hidden="1"/>
    </xf>
    <xf numFmtId="9" fontId="14" fillId="6" borderId="0" xfId="23" applyFont="1" applyFill="1" applyBorder="1" applyAlignment="1" applyProtection="1">
      <alignment horizontal="center"/>
      <protection hidden="1"/>
    </xf>
    <xf numFmtId="9" fontId="14" fillId="0" borderId="0" xfId="0" applyNumberFormat="1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14" fontId="14" fillId="6" borderId="0" xfId="0" applyNumberFormat="1" applyFont="1" applyFill="1" applyBorder="1" applyAlignment="1" applyProtection="1">
      <alignment horizontal="center"/>
      <protection hidden="1"/>
    </xf>
    <xf numFmtId="49" fontId="14" fillId="2" borderId="0" xfId="0" applyNumberFormat="1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0" fontId="14" fillId="8" borderId="0" xfId="0" applyFont="1" applyFill="1" applyBorder="1" applyAlignment="1" applyProtection="1">
      <alignment/>
      <protection hidden="1"/>
    </xf>
    <xf numFmtId="0" fontId="14" fillId="8" borderId="0" xfId="0" applyFont="1" applyFill="1" applyBorder="1" applyAlignment="1" applyProtection="1">
      <alignment horizontal="right"/>
      <protection hidden="1"/>
    </xf>
    <xf numFmtId="4" fontId="14" fillId="8" borderId="5" xfId="0" applyNumberFormat="1" applyFont="1" applyFill="1" applyBorder="1" applyAlignment="1" applyProtection="1">
      <alignment/>
      <protection hidden="1"/>
    </xf>
    <xf numFmtId="9" fontId="14" fillId="0" borderId="0" xfId="23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17" fillId="8" borderId="0" xfId="0" applyNumberFormat="1" applyFont="1" applyFill="1" applyAlignment="1" applyProtection="1">
      <alignment/>
      <protection hidden="1"/>
    </xf>
    <xf numFmtId="0" fontId="0" fillId="8" borderId="0" xfId="0" applyFont="1" applyFill="1" applyAlignment="1" applyProtection="1">
      <alignment/>
      <protection hidden="1"/>
    </xf>
    <xf numFmtId="0" fontId="23" fillId="8" borderId="0" xfId="0" applyFont="1" applyFill="1" applyAlignment="1" applyProtection="1">
      <alignment/>
      <protection hidden="1"/>
    </xf>
    <xf numFmtId="0" fontId="23" fillId="8" borderId="0" xfId="0" applyFont="1" applyFill="1" applyAlignment="1" applyProtection="1">
      <alignment/>
      <protection hidden="1"/>
    </xf>
    <xf numFmtId="49" fontId="23" fillId="8" borderId="0" xfId="0" applyNumberFormat="1" applyFont="1" applyFill="1" applyAlignment="1" applyProtection="1">
      <alignment horizontal="right"/>
      <protection hidden="1"/>
    </xf>
    <xf numFmtId="195" fontId="23" fillId="8" borderId="0" xfId="0" applyNumberFormat="1" applyFont="1" applyFill="1" applyAlignment="1" applyProtection="1">
      <alignment horizontal="right"/>
      <protection hidden="1"/>
    </xf>
    <xf numFmtId="172" fontId="23" fillId="8" borderId="0" xfId="0" applyNumberFormat="1" applyFont="1" applyFill="1" applyAlignment="1" applyProtection="1">
      <alignment horizontal="center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 vertical="top"/>
      <protection hidden="1"/>
    </xf>
    <xf numFmtId="4" fontId="0" fillId="0" borderId="0" xfId="0" applyNumberFormat="1" applyFont="1" applyBorder="1" applyAlignment="1" applyProtection="1">
      <alignment/>
      <protection hidden="1"/>
    </xf>
    <xf numFmtId="4" fontId="23" fillId="0" borderId="0" xfId="0" applyNumberFormat="1" applyFont="1" applyAlignment="1" applyProtection="1">
      <alignment horizontal="center"/>
      <protection hidden="1"/>
    </xf>
    <xf numFmtId="179" fontId="15" fillId="0" borderId="0" xfId="0" applyNumberFormat="1" applyFont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textRotation="90"/>
      <protection hidden="1"/>
    </xf>
    <xf numFmtId="14" fontId="0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9" fontId="20" fillId="0" borderId="0" xfId="0" applyNumberFormat="1" applyFont="1" applyFill="1" applyBorder="1" applyAlignment="1" applyProtection="1">
      <alignment horizontal="center"/>
      <protection hidden="1"/>
    </xf>
    <xf numFmtId="9" fontId="14" fillId="0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right"/>
      <protection hidden="1"/>
    </xf>
    <xf numFmtId="9" fontId="0" fillId="0" borderId="0" xfId="0" applyNumberFormat="1" applyFont="1" applyBorder="1" applyAlignment="1" applyProtection="1">
      <alignment horizontal="center" vertical="center" textRotation="90"/>
      <protection hidden="1"/>
    </xf>
    <xf numFmtId="9" fontId="14" fillId="0" borderId="0" xfId="0" applyNumberFormat="1" applyFont="1" applyBorder="1" applyAlignment="1" applyProtection="1">
      <alignment vertical="center"/>
      <protection hidden="1"/>
    </xf>
    <xf numFmtId="9" fontId="15" fillId="0" borderId="0" xfId="0" applyNumberFormat="1" applyFont="1" applyBorder="1" applyAlignment="1" applyProtection="1">
      <alignment horizontal="center" textRotation="90"/>
      <protection hidden="1"/>
    </xf>
    <xf numFmtId="9" fontId="23" fillId="0" borderId="0" xfId="0" applyNumberFormat="1" applyFont="1" applyAlignment="1" applyProtection="1">
      <alignment horizontal="center"/>
      <protection hidden="1"/>
    </xf>
    <xf numFmtId="9" fontId="2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9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49" fontId="22" fillId="0" borderId="0" xfId="0" applyNumberFormat="1" applyFont="1" applyBorder="1" applyAlignment="1" applyProtection="1">
      <alignment horizontal="center"/>
      <protection hidden="1"/>
    </xf>
    <xf numFmtId="183" fontId="0" fillId="0" borderId="0" xfId="0" applyNumberFormat="1" applyFont="1" applyAlignment="1" applyProtection="1">
      <alignment/>
      <protection hidden="1"/>
    </xf>
    <xf numFmtId="9" fontId="14" fillId="0" borderId="0" xfId="0" applyNumberFormat="1" applyFont="1" applyFill="1" applyBorder="1" applyAlignment="1" applyProtection="1">
      <alignment/>
      <protection hidden="1"/>
    </xf>
    <xf numFmtId="179" fontId="14" fillId="0" borderId="0" xfId="0" applyNumberFormat="1" applyFont="1" applyAlignment="1" applyProtection="1">
      <alignment horizontal="right"/>
      <protection hidden="1"/>
    </xf>
    <xf numFmtId="9" fontId="0" fillId="0" borderId="0" xfId="0" applyNumberFormat="1" applyFont="1" applyFill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79" fontId="14" fillId="0" borderId="0" xfId="0" applyNumberFormat="1" applyFont="1" applyAlignment="1" applyProtection="1">
      <alignment/>
      <protection hidden="1"/>
    </xf>
    <xf numFmtId="49" fontId="16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4" fontId="4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9" fillId="0" borderId="0" xfId="0" applyNumberFormat="1" applyFont="1" applyAlignment="1" applyProtection="1">
      <alignment horizontal="right"/>
      <protection hidden="1"/>
    </xf>
    <xf numFmtId="4" fontId="13" fillId="0" borderId="0" xfId="0" applyNumberFormat="1" applyFont="1" applyAlignment="1" applyProtection="1">
      <alignment/>
      <protection hidden="1"/>
    </xf>
    <xf numFmtId="4" fontId="12" fillId="7" borderId="0" xfId="0" applyNumberFormat="1" applyFont="1" applyFill="1" applyBorder="1" applyAlignment="1" applyProtection="1">
      <alignment horizontal="center"/>
      <protection hidden="1"/>
    </xf>
    <xf numFmtId="4" fontId="5" fillId="8" borderId="0" xfId="0" applyNumberFormat="1" applyFont="1" applyFill="1" applyAlignment="1" applyProtection="1">
      <alignment/>
      <protection hidden="1"/>
    </xf>
    <xf numFmtId="4" fontId="4" fillId="8" borderId="0" xfId="0" applyNumberFormat="1" applyFont="1" applyFill="1" applyAlignment="1" applyProtection="1">
      <alignment/>
      <protection hidden="1"/>
    </xf>
    <xf numFmtId="4" fontId="4" fillId="8" borderId="0" xfId="0" applyNumberFormat="1" applyFont="1" applyFill="1" applyAlignment="1" applyProtection="1">
      <alignment horizontal="center"/>
      <protection hidden="1"/>
    </xf>
    <xf numFmtId="4" fontId="4" fillId="6" borderId="0" xfId="0" applyNumberFormat="1" applyFont="1" applyFill="1" applyAlignment="1" applyProtection="1">
      <alignment/>
      <protection hidden="1"/>
    </xf>
    <xf numFmtId="4" fontId="12" fillId="9" borderId="6" xfId="0" applyNumberFormat="1" applyFont="1" applyFill="1" applyBorder="1" applyAlignment="1" applyProtection="1">
      <alignment horizontal="center"/>
      <protection hidden="1"/>
    </xf>
    <xf numFmtId="4" fontId="8" fillId="8" borderId="0" xfId="0" applyNumberFormat="1" applyFont="1" applyFill="1" applyAlignment="1" applyProtection="1">
      <alignment/>
      <protection hidden="1"/>
    </xf>
    <xf numFmtId="4" fontId="12" fillId="9" borderId="0" xfId="0" applyNumberFormat="1" applyFont="1" applyFill="1" applyBorder="1" applyAlignment="1" applyProtection="1">
      <alignment horizontal="center"/>
      <protection hidden="1"/>
    </xf>
    <xf numFmtId="4" fontId="12" fillId="10" borderId="6" xfId="0" applyNumberFormat="1" applyFont="1" applyFill="1" applyBorder="1" applyAlignment="1" applyProtection="1">
      <alignment horizontal="center"/>
      <protection hidden="1"/>
    </xf>
    <xf numFmtId="4" fontId="10" fillId="8" borderId="0" xfId="0" applyNumberFormat="1" applyFont="1" applyFill="1" applyAlignment="1" applyProtection="1">
      <alignment/>
      <protection hidden="1"/>
    </xf>
    <xf numFmtId="4" fontId="12" fillId="10" borderId="0" xfId="0" applyNumberFormat="1" applyFont="1" applyFill="1" applyBorder="1" applyAlignment="1" applyProtection="1">
      <alignment horizontal="center"/>
      <protection hidden="1"/>
    </xf>
    <xf numFmtId="4" fontId="12" fillId="11" borderId="6" xfId="0" applyNumberFormat="1" applyFont="1" applyFill="1" applyBorder="1" applyAlignment="1" applyProtection="1">
      <alignment horizontal="center"/>
      <protection hidden="1"/>
    </xf>
    <xf numFmtId="4" fontId="11" fillId="8" borderId="0" xfId="0" applyNumberFormat="1" applyFont="1" applyFill="1" applyAlignment="1" applyProtection="1">
      <alignment/>
      <protection hidden="1"/>
    </xf>
    <xf numFmtId="4" fontId="12" fillId="7" borderId="6" xfId="0" applyNumberFormat="1" applyFont="1" applyFill="1" applyBorder="1" applyAlignment="1" applyProtection="1">
      <alignment horizontal="center"/>
      <protection hidden="1"/>
    </xf>
    <xf numFmtId="4" fontId="4" fillId="7" borderId="0" xfId="0" applyNumberFormat="1" applyFont="1" applyFill="1" applyAlignment="1" applyProtection="1">
      <alignment/>
      <protection hidden="1"/>
    </xf>
    <xf numFmtId="4" fontId="12" fillId="11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Alignment="1" applyProtection="1">
      <alignment/>
      <protection hidden="1"/>
    </xf>
    <xf numFmtId="4" fontId="14" fillId="2" borderId="0" xfId="0" applyNumberFormat="1" applyFont="1" applyFill="1" applyBorder="1" applyAlignment="1" applyProtection="1">
      <alignment horizontal="center" textRotation="90" wrapText="1"/>
      <protection hidden="1"/>
    </xf>
    <xf numFmtId="4" fontId="21" fillId="0" borderId="0" xfId="0" applyNumberFormat="1" applyFont="1" applyAlignment="1" applyProtection="1">
      <alignment/>
      <protection hidden="1"/>
    </xf>
    <xf numFmtId="0" fontId="0" fillId="8" borderId="0" xfId="0" applyFont="1" applyFill="1" applyAlignment="1" applyProtection="1">
      <alignment/>
      <protection hidden="1"/>
    </xf>
    <xf numFmtId="14" fontId="14" fillId="6" borderId="4" xfId="0" applyNumberFormat="1" applyFont="1" applyFill="1" applyBorder="1" applyAlignment="1" applyProtection="1">
      <alignment horizontal="center"/>
      <protection hidden="1"/>
    </xf>
    <xf numFmtId="4" fontId="14" fillId="6" borderId="4" xfId="23" applyNumberFormat="1" applyFont="1" applyFill="1" applyBorder="1" applyAlignment="1" applyProtection="1">
      <alignment/>
      <protection hidden="1"/>
    </xf>
    <xf numFmtId="9" fontId="14" fillId="8" borderId="4" xfId="23" applyFont="1" applyFill="1" applyBorder="1" applyAlignment="1" applyProtection="1">
      <alignment horizontal="center"/>
      <protection hidden="1"/>
    </xf>
    <xf numFmtId="4" fontId="14" fillId="8" borderId="4" xfId="23" applyNumberFormat="1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3" fontId="14" fillId="8" borderId="4" xfId="0" applyNumberFormat="1" applyFont="1" applyFill="1" applyBorder="1" applyAlignment="1" applyProtection="1">
      <alignment horizontal="center"/>
      <protection hidden="1"/>
    </xf>
    <xf numFmtId="9" fontId="29" fillId="8" borderId="0" xfId="23" applyFont="1" applyFill="1" applyBorder="1" applyAlignment="1" applyProtection="1">
      <alignment horizontal="center"/>
      <protection hidden="1"/>
    </xf>
    <xf numFmtId="0" fontId="21" fillId="8" borderId="0" xfId="0" applyFont="1" applyFill="1" applyAlignment="1" applyProtection="1">
      <alignment horizontal="center"/>
      <protection hidden="1"/>
    </xf>
    <xf numFmtId="0" fontId="14" fillId="0" borderId="7" xfId="0" applyFont="1" applyBorder="1" applyAlignment="1" applyProtection="1">
      <alignment/>
      <protection hidden="1"/>
    </xf>
    <xf numFmtId="0" fontId="21" fillId="2" borderId="0" xfId="0" applyFont="1" applyFill="1" applyAlignment="1" applyProtection="1">
      <alignment horizontal="center"/>
      <protection hidden="1"/>
    </xf>
    <xf numFmtId="199" fontId="21" fillId="2" borderId="0" xfId="0" applyNumberFormat="1" applyFont="1" applyFill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0" fillId="8" borderId="0" xfId="0" applyFont="1" applyFill="1" applyAlignment="1" applyProtection="1">
      <alignment horizontal="center"/>
      <protection hidden="1"/>
    </xf>
    <xf numFmtId="4" fontId="22" fillId="2" borderId="0" xfId="0" applyNumberFormat="1" applyFont="1" applyFill="1" applyBorder="1" applyAlignment="1" applyProtection="1">
      <alignment horizontal="center"/>
      <protection hidden="1"/>
    </xf>
    <xf numFmtId="4" fontId="0" fillId="2" borderId="0" xfId="0" applyNumberFormat="1" applyFont="1" applyFill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9" fontId="14" fillId="8" borderId="0" xfId="23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 textRotation="90"/>
      <protection hidden="1"/>
    </xf>
    <xf numFmtId="9" fontId="21" fillId="0" borderId="0" xfId="0" applyNumberFormat="1" applyFont="1" applyBorder="1" applyAlignment="1" applyProtection="1">
      <alignment horizontal="center"/>
      <protection hidden="1"/>
    </xf>
    <xf numFmtId="0" fontId="28" fillId="12" borderId="6" xfId="0" applyFont="1" applyFill="1" applyBorder="1" applyAlignment="1" applyProtection="1">
      <alignment horizontal="center"/>
      <protection hidden="1"/>
    </xf>
    <xf numFmtId="0" fontId="0" fillId="8" borderId="0" xfId="0" applyFont="1" applyFill="1" applyBorder="1" applyAlignment="1" applyProtection="1">
      <alignment/>
      <protection hidden="1"/>
    </xf>
    <xf numFmtId="4" fontId="14" fillId="8" borderId="8" xfId="23" applyNumberFormat="1" applyFont="1" applyFill="1" applyBorder="1" applyAlignment="1" applyProtection="1">
      <alignment/>
      <protection hidden="1"/>
    </xf>
    <xf numFmtId="0" fontId="17" fillId="8" borderId="0" xfId="0" applyFont="1" applyFill="1" applyAlignment="1" applyProtection="1">
      <alignment horizontal="right"/>
      <protection hidden="1"/>
    </xf>
    <xf numFmtId="4" fontId="14" fillId="8" borderId="2" xfId="23" applyNumberFormat="1" applyFont="1" applyFill="1" applyBorder="1" applyAlignment="1" applyProtection="1">
      <alignment/>
      <protection hidden="1"/>
    </xf>
    <xf numFmtId="4" fontId="14" fillId="8" borderId="0" xfId="0" applyNumberFormat="1" applyFont="1" applyFill="1" applyBorder="1" applyAlignment="1" applyProtection="1">
      <alignment horizontal="center"/>
      <protection hidden="1"/>
    </xf>
    <xf numFmtId="0" fontId="15" fillId="8" borderId="9" xfId="0" applyFont="1" applyFill="1" applyBorder="1" applyAlignment="1" applyProtection="1">
      <alignment/>
      <protection hidden="1"/>
    </xf>
    <xf numFmtId="0" fontId="21" fillId="8" borderId="7" xfId="0" applyFont="1" applyFill="1" applyBorder="1" applyAlignment="1" applyProtection="1">
      <alignment/>
      <protection hidden="1"/>
    </xf>
    <xf numFmtId="0" fontId="14" fillId="8" borderId="10" xfId="0" applyFont="1" applyFill="1" applyBorder="1" applyAlignment="1" applyProtection="1">
      <alignment/>
      <protection hidden="1"/>
    </xf>
    <xf numFmtId="0" fontId="15" fillId="7" borderId="0" xfId="0" applyFont="1" applyFill="1" applyBorder="1" applyAlignment="1" applyProtection="1">
      <alignment horizontal="center"/>
      <protection hidden="1"/>
    </xf>
    <xf numFmtId="4" fontId="14" fillId="0" borderId="11" xfId="0" applyNumberFormat="1" applyFont="1" applyBorder="1" applyAlignment="1" applyProtection="1">
      <alignment/>
      <protection hidden="1"/>
    </xf>
    <xf numFmtId="9" fontId="14" fillId="8" borderId="12" xfId="23" applyFont="1" applyFill="1" applyBorder="1" applyAlignment="1" applyProtection="1">
      <alignment horizontal="center"/>
      <protection hidden="1"/>
    </xf>
    <xf numFmtId="9" fontId="14" fillId="0" borderId="11" xfId="0" applyNumberFormat="1" applyFont="1" applyBorder="1" applyAlignment="1" applyProtection="1">
      <alignment/>
      <protection hidden="1"/>
    </xf>
    <xf numFmtId="9" fontId="14" fillId="8" borderId="2" xfId="0" applyNumberFormat="1" applyFont="1" applyFill="1" applyBorder="1" applyAlignment="1" applyProtection="1">
      <alignment horizontal="center" vertical="center"/>
      <protection hidden="1"/>
    </xf>
    <xf numFmtId="0" fontId="14" fillId="13" borderId="0" xfId="0" applyFont="1" applyFill="1" applyBorder="1" applyAlignment="1" applyProtection="1">
      <alignment/>
      <protection hidden="1"/>
    </xf>
    <xf numFmtId="0" fontId="14" fillId="13" borderId="0" xfId="0" applyFont="1" applyFill="1" applyBorder="1" applyAlignment="1" applyProtection="1">
      <alignment horizontal="center"/>
      <protection hidden="1"/>
    </xf>
    <xf numFmtId="4" fontId="14" fillId="13" borderId="4" xfId="23" applyNumberFormat="1" applyFont="1" applyFill="1" applyBorder="1" applyAlignment="1" applyProtection="1">
      <alignment/>
      <protection hidden="1"/>
    </xf>
    <xf numFmtId="4" fontId="14" fillId="3" borderId="4" xfId="23" applyNumberFormat="1" applyFont="1" applyFill="1" applyBorder="1" applyAlignment="1" applyProtection="1">
      <alignment/>
      <protection hidden="1"/>
    </xf>
    <xf numFmtId="9" fontId="21" fillId="3" borderId="0" xfId="0" applyNumberFormat="1" applyFont="1" applyFill="1" applyAlignment="1" applyProtection="1">
      <alignment horizontal="center"/>
      <protection hidden="1"/>
    </xf>
    <xf numFmtId="9" fontId="21" fillId="13" borderId="0" xfId="0" applyNumberFormat="1" applyFont="1" applyFill="1" applyAlignment="1" applyProtection="1">
      <alignment horizontal="center"/>
      <protection hidden="1"/>
    </xf>
    <xf numFmtId="9" fontId="29" fillId="14" borderId="0" xfId="23" applyFont="1" applyFill="1" applyBorder="1" applyAlignment="1" applyProtection="1">
      <alignment horizontal="center"/>
      <protection hidden="1"/>
    </xf>
    <xf numFmtId="4" fontId="4" fillId="15" borderId="0" xfId="0" applyNumberFormat="1" applyFont="1" applyFill="1" applyAlignment="1" applyProtection="1">
      <alignment/>
      <protection hidden="1"/>
    </xf>
    <xf numFmtId="0" fontId="14" fillId="8" borderId="0" xfId="0" applyFont="1" applyFill="1" applyAlignment="1" applyProtection="1">
      <alignment horizontal="center"/>
      <protection hidden="1"/>
    </xf>
    <xf numFmtId="14" fontId="21" fillId="0" borderId="0" xfId="0" applyNumberFormat="1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9" fontId="21" fillId="8" borderId="0" xfId="0" applyNumberFormat="1" applyFont="1" applyFill="1" applyAlignment="1" applyProtection="1">
      <alignment horizontal="center"/>
      <protection hidden="1"/>
    </xf>
    <xf numFmtId="0" fontId="14" fillId="8" borderId="5" xfId="0" applyFont="1" applyFill="1" applyBorder="1" applyAlignment="1" applyProtection="1">
      <alignment horizontal="center"/>
      <protection hidden="1"/>
    </xf>
    <xf numFmtId="0" fontId="24" fillId="16" borderId="9" xfId="0" applyFont="1" applyFill="1" applyBorder="1" applyAlignment="1" applyProtection="1">
      <alignment horizontal="center" vertical="center"/>
      <protection hidden="1"/>
    </xf>
    <xf numFmtId="4" fontId="14" fillId="8" borderId="13" xfId="0" applyNumberFormat="1" applyFont="1" applyFill="1" applyBorder="1" applyAlignment="1" applyProtection="1">
      <alignment horizontal="center" vertical="center" wrapText="1"/>
      <protection hidden="1"/>
    </xf>
    <xf numFmtId="4" fontId="14" fillId="8" borderId="0" xfId="0" applyNumberFormat="1" applyFont="1" applyFill="1" applyBorder="1" applyAlignment="1" applyProtection="1">
      <alignment horizontal="center" textRotation="90" wrapText="1"/>
      <protection hidden="1"/>
    </xf>
    <xf numFmtId="3" fontId="14" fillId="8" borderId="0" xfId="0" applyNumberFormat="1" applyFont="1" applyFill="1" applyBorder="1" applyAlignment="1" applyProtection="1">
      <alignment horizontal="center"/>
      <protection hidden="1"/>
    </xf>
    <xf numFmtId="0" fontId="31" fillId="8" borderId="0" xfId="0" applyFont="1" applyFill="1" applyBorder="1" applyAlignment="1" applyProtection="1">
      <alignment horizontal="center"/>
      <protection hidden="1"/>
    </xf>
    <xf numFmtId="0" fontId="14" fillId="8" borderId="13" xfId="0" applyFont="1" applyFill="1" applyBorder="1" applyAlignment="1" applyProtection="1">
      <alignment/>
      <protection hidden="1"/>
    </xf>
    <xf numFmtId="0" fontId="25" fillId="8" borderId="9" xfId="0" applyFont="1" applyFill="1" applyBorder="1" applyAlignment="1" applyProtection="1">
      <alignment/>
      <protection hidden="1"/>
    </xf>
    <xf numFmtId="0" fontId="0" fillId="8" borderId="9" xfId="0" applyFont="1" applyFill="1" applyBorder="1" applyAlignment="1" applyProtection="1">
      <alignment/>
      <protection hidden="1"/>
    </xf>
    <xf numFmtId="0" fontId="26" fillId="8" borderId="9" xfId="0" applyFont="1" applyFill="1" applyBorder="1" applyAlignment="1" applyProtection="1">
      <alignment horizontal="right"/>
      <protection hidden="1"/>
    </xf>
    <xf numFmtId="0" fontId="26" fillId="8" borderId="9" xfId="0" applyFont="1" applyFill="1" applyBorder="1" applyAlignment="1" applyProtection="1">
      <alignment/>
      <protection hidden="1"/>
    </xf>
    <xf numFmtId="0" fontId="0" fillId="8" borderId="14" xfId="0" applyFont="1" applyFill="1" applyBorder="1" applyAlignment="1" applyProtection="1">
      <alignment/>
      <protection hidden="1"/>
    </xf>
    <xf numFmtId="0" fontId="25" fillId="8" borderId="0" xfId="0" applyFont="1" applyFill="1" applyBorder="1" applyAlignment="1" applyProtection="1">
      <alignment/>
      <protection hidden="1"/>
    </xf>
    <xf numFmtId="0" fontId="0" fillId="8" borderId="5" xfId="0" applyFont="1" applyFill="1" applyBorder="1" applyAlignment="1" applyProtection="1">
      <alignment/>
      <protection hidden="1"/>
    </xf>
    <xf numFmtId="0" fontId="14" fillId="8" borderId="6" xfId="0" applyFont="1" applyFill="1" applyBorder="1" applyAlignment="1" applyProtection="1">
      <alignment horizontal="center"/>
      <protection hidden="1"/>
    </xf>
    <xf numFmtId="0" fontId="0" fillId="8" borderId="6" xfId="0" applyFont="1" applyFill="1" applyBorder="1" applyAlignment="1" applyProtection="1">
      <alignment/>
      <protection hidden="1"/>
    </xf>
    <xf numFmtId="0" fontId="14" fillId="8" borderId="6" xfId="0" applyFont="1" applyFill="1" applyBorder="1" applyAlignment="1" applyProtection="1">
      <alignment/>
      <protection hidden="1"/>
    </xf>
    <xf numFmtId="0" fontId="33" fillId="8" borderId="6" xfId="0" applyFont="1" applyFill="1" applyBorder="1" applyAlignment="1" applyProtection="1">
      <alignment vertical="center"/>
      <protection hidden="1"/>
    </xf>
    <xf numFmtId="0" fontId="33" fillId="8" borderId="6" xfId="0" applyFont="1" applyFill="1" applyBorder="1" applyAlignment="1" applyProtection="1">
      <alignment/>
      <protection hidden="1"/>
    </xf>
    <xf numFmtId="4" fontId="14" fillId="8" borderId="0" xfId="0" applyNumberFormat="1" applyFont="1" applyFill="1" applyBorder="1" applyAlignment="1" applyProtection="1">
      <alignment/>
      <protection hidden="1"/>
    </xf>
    <xf numFmtId="0" fontId="21" fillId="8" borderId="0" xfId="0" applyFont="1" applyFill="1" applyBorder="1" applyAlignment="1" applyProtection="1">
      <alignment/>
      <protection hidden="1"/>
    </xf>
    <xf numFmtId="0" fontId="14" fillId="8" borderId="15" xfId="0" applyFont="1" applyFill="1" applyBorder="1" applyAlignment="1" applyProtection="1">
      <alignment/>
      <protection hidden="1"/>
    </xf>
    <xf numFmtId="0" fontId="31" fillId="8" borderId="6" xfId="0" applyFont="1" applyFill="1" applyBorder="1" applyAlignment="1" applyProtection="1">
      <alignment/>
      <protection hidden="1"/>
    </xf>
    <xf numFmtId="0" fontId="31" fillId="8" borderId="0" xfId="0" applyFont="1" applyFill="1" applyBorder="1" applyAlignment="1" applyProtection="1">
      <alignment/>
      <protection hidden="1"/>
    </xf>
    <xf numFmtId="0" fontId="22" fillId="8" borderId="0" xfId="0" applyFont="1" applyFill="1" applyBorder="1" applyAlignment="1" applyProtection="1">
      <alignment/>
      <protection hidden="1"/>
    </xf>
    <xf numFmtId="4" fontId="14" fillId="8" borderId="16" xfId="0" applyNumberFormat="1" applyFont="1" applyFill="1" applyBorder="1" applyAlignment="1" applyProtection="1">
      <alignment/>
      <protection hidden="1"/>
    </xf>
    <xf numFmtId="14" fontId="14" fillId="8" borderId="17" xfId="0" applyNumberFormat="1" applyFont="1" applyFill="1" applyBorder="1" applyAlignment="1" applyProtection="1">
      <alignment horizontal="center"/>
      <protection hidden="1"/>
    </xf>
    <xf numFmtId="14" fontId="14" fillId="8" borderId="0" xfId="0" applyNumberFormat="1" applyFont="1" applyFill="1" applyBorder="1" applyAlignment="1" applyProtection="1">
      <alignment horizontal="center"/>
      <protection hidden="1"/>
    </xf>
    <xf numFmtId="0" fontId="14" fillId="8" borderId="5" xfId="0" applyFont="1" applyFill="1" applyBorder="1" applyAlignment="1" applyProtection="1">
      <alignment/>
      <protection hidden="1"/>
    </xf>
    <xf numFmtId="0" fontId="14" fillId="8" borderId="18" xfId="0" applyFont="1" applyFill="1" applyBorder="1" applyAlignment="1" applyProtection="1">
      <alignment/>
      <protection hidden="1"/>
    </xf>
    <xf numFmtId="0" fontId="14" fillId="8" borderId="19" xfId="0" applyFont="1" applyFill="1" applyBorder="1" applyAlignment="1" applyProtection="1">
      <alignment/>
      <protection hidden="1"/>
    </xf>
    <xf numFmtId="4" fontId="14" fillId="8" borderId="13" xfId="0" applyNumberFormat="1" applyFont="1" applyFill="1" applyBorder="1" applyAlignment="1" applyProtection="1">
      <alignment vertical="center"/>
      <protection hidden="1"/>
    </xf>
    <xf numFmtId="0" fontId="15" fillId="8" borderId="6" xfId="0" applyFont="1" applyFill="1" applyBorder="1" applyAlignment="1" applyProtection="1">
      <alignment/>
      <protection hidden="1"/>
    </xf>
    <xf numFmtId="9" fontId="14" fillId="8" borderId="20" xfId="23" applyFont="1" applyFill="1" applyBorder="1" applyAlignment="1" applyProtection="1">
      <alignment horizontal="center"/>
      <protection hidden="1"/>
    </xf>
    <xf numFmtId="4" fontId="14" fillId="8" borderId="5" xfId="0" applyNumberFormat="1" applyFont="1" applyFill="1" applyBorder="1" applyAlignment="1" applyProtection="1">
      <alignment vertical="center"/>
      <protection hidden="1"/>
    </xf>
    <xf numFmtId="4" fontId="14" fillId="8" borderId="18" xfId="0" applyNumberFormat="1" applyFont="1" applyFill="1" applyBorder="1" applyAlignment="1" applyProtection="1">
      <alignment vertical="center"/>
      <protection hidden="1"/>
    </xf>
    <xf numFmtId="4" fontId="14" fillId="8" borderId="0" xfId="0" applyNumberFormat="1" applyFont="1" applyFill="1" applyBorder="1" applyAlignment="1" applyProtection="1">
      <alignment wrapText="1"/>
      <protection hidden="1"/>
    </xf>
    <xf numFmtId="4" fontId="14" fillId="8" borderId="0" xfId="0" applyNumberFormat="1" applyFont="1" applyFill="1" applyBorder="1" applyAlignment="1" applyProtection="1">
      <alignment horizontal="center" vertical="center" wrapText="1"/>
      <protection hidden="1"/>
    </xf>
    <xf numFmtId="4" fontId="14" fillId="8" borderId="21" xfId="0" applyNumberFormat="1" applyFont="1" applyFill="1" applyBorder="1" applyAlignment="1" applyProtection="1">
      <alignment vertical="center"/>
      <protection hidden="1"/>
    </xf>
    <xf numFmtId="4" fontId="14" fillId="8" borderId="5" xfId="0" applyNumberFormat="1" applyFont="1" applyFill="1" applyBorder="1" applyAlignment="1" applyProtection="1">
      <alignment horizontal="center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4" fillId="8" borderId="23" xfId="0" applyFont="1" applyFill="1" applyBorder="1" applyAlignment="1" applyProtection="1">
      <alignment horizontal="center"/>
      <protection hidden="1"/>
    </xf>
    <xf numFmtId="0" fontId="14" fillId="8" borderId="23" xfId="0" applyFont="1" applyFill="1" applyBorder="1" applyAlignment="1" applyProtection="1">
      <alignment horizontal="right"/>
      <protection hidden="1"/>
    </xf>
    <xf numFmtId="4" fontId="14" fillId="8" borderId="9" xfId="0" applyNumberFormat="1" applyFont="1" applyFill="1" applyBorder="1" applyAlignment="1" applyProtection="1">
      <alignment horizontal="center" textRotation="90" wrapText="1"/>
      <protection hidden="1"/>
    </xf>
    <xf numFmtId="4" fontId="14" fillId="8" borderId="0" xfId="0" applyNumberFormat="1" applyFont="1" applyFill="1" applyBorder="1" applyAlignment="1" applyProtection="1">
      <alignment horizontal="center" vertical="center"/>
      <protection hidden="1"/>
    </xf>
    <xf numFmtId="9" fontId="14" fillId="8" borderId="24" xfId="0" applyNumberFormat="1" applyFont="1" applyFill="1" applyBorder="1" applyAlignment="1" applyProtection="1">
      <alignment horizontal="center" vertical="center"/>
      <protection hidden="1"/>
    </xf>
    <xf numFmtId="9" fontId="14" fillId="8" borderId="4" xfId="0" applyNumberFormat="1" applyFont="1" applyFill="1" applyBorder="1" applyAlignment="1" applyProtection="1">
      <alignment horizontal="center" vertical="center"/>
      <protection hidden="1"/>
    </xf>
    <xf numFmtId="9" fontId="15" fillId="2" borderId="0" xfId="0" applyNumberFormat="1" applyFont="1" applyFill="1" applyBorder="1" applyAlignment="1" applyProtection="1">
      <alignment horizontal="center"/>
      <protection hidden="1"/>
    </xf>
    <xf numFmtId="4" fontId="30" fillId="8" borderId="0" xfId="0" applyNumberFormat="1" applyFont="1" applyFill="1" applyBorder="1" applyAlignment="1" applyProtection="1">
      <alignment/>
      <protection hidden="1"/>
    </xf>
    <xf numFmtId="0" fontId="22" fillId="2" borderId="0" xfId="0" applyFont="1" applyFill="1" applyAlignment="1" applyProtection="1">
      <alignment horizontal="right"/>
      <protection hidden="1"/>
    </xf>
    <xf numFmtId="4" fontId="21" fillId="0" borderId="25" xfId="0" applyNumberFormat="1" applyFont="1" applyBorder="1" applyAlignment="1" applyProtection="1">
      <alignment/>
      <protection hidden="1"/>
    </xf>
    <xf numFmtId="9" fontId="14" fillId="8" borderId="26" xfId="23" applyFont="1" applyFill="1" applyBorder="1" applyAlignment="1" applyProtection="1">
      <alignment horizontal="center"/>
      <protection hidden="1"/>
    </xf>
    <xf numFmtId="0" fontId="14" fillId="8" borderId="0" xfId="0" applyFont="1" applyFill="1" applyBorder="1" applyAlignment="1" applyProtection="1">
      <alignment horizontal="left"/>
      <protection hidden="1"/>
    </xf>
    <xf numFmtId="4" fontId="22" fillId="2" borderId="0" xfId="0" applyNumberFormat="1" applyFont="1" applyFill="1" applyBorder="1" applyAlignment="1" applyProtection="1">
      <alignment horizontal="right"/>
      <protection hidden="1"/>
    </xf>
    <xf numFmtId="49" fontId="17" fillId="8" borderId="0" xfId="0" applyNumberFormat="1" applyFont="1" applyFill="1" applyAlignment="1" applyProtection="1">
      <alignment horizontal="right"/>
      <protection hidden="1"/>
    </xf>
    <xf numFmtId="0" fontId="14" fillId="8" borderId="7" xfId="0" applyFont="1" applyFill="1" applyBorder="1" applyAlignment="1" applyProtection="1">
      <alignment horizontal="center"/>
      <protection hidden="1"/>
    </xf>
    <xf numFmtId="0" fontId="21" fillId="8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28" fillId="8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14" fillId="8" borderId="7" xfId="0" applyFont="1" applyFill="1" applyBorder="1" applyAlignment="1" applyProtection="1">
      <alignment/>
      <protection hidden="1"/>
    </xf>
    <xf numFmtId="0" fontId="15" fillId="8" borderId="0" xfId="0" applyFont="1" applyFill="1" applyBorder="1" applyAlignment="1" applyProtection="1">
      <alignment/>
      <protection hidden="1"/>
    </xf>
    <xf numFmtId="4" fontId="33" fillId="8" borderId="4" xfId="23" applyNumberFormat="1" applyFont="1" applyFill="1" applyBorder="1" applyAlignment="1" applyProtection="1">
      <alignment/>
      <protection hidden="1"/>
    </xf>
    <xf numFmtId="9" fontId="21" fillId="0" borderId="0" xfId="0" applyNumberFormat="1" applyFont="1" applyAlignment="1">
      <alignment horizontal="center"/>
    </xf>
    <xf numFmtId="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14" fillId="8" borderId="27" xfId="0" applyFont="1" applyFill="1" applyBorder="1" applyAlignment="1" applyProtection="1">
      <alignment horizontal="center"/>
      <protection hidden="1"/>
    </xf>
    <xf numFmtId="14" fontId="14" fillId="0" borderId="22" xfId="0" applyNumberFormat="1" applyFont="1" applyFill="1" applyBorder="1" applyAlignment="1" applyProtection="1">
      <alignment horizontal="center"/>
      <protection locked="0"/>
    </xf>
    <xf numFmtId="9" fontId="14" fillId="0" borderId="28" xfId="23" applyFont="1" applyFill="1" applyBorder="1" applyAlignment="1" applyProtection="1">
      <alignment horizontal="center"/>
      <protection locked="0"/>
    </xf>
    <xf numFmtId="4" fontId="14" fillId="0" borderId="29" xfId="0" applyNumberFormat="1" applyFont="1" applyFill="1" applyBorder="1" applyAlignment="1" applyProtection="1">
      <alignment/>
      <protection locked="0"/>
    </xf>
    <xf numFmtId="0" fontId="14" fillId="0" borderId="28" xfId="0" applyFont="1" applyFill="1" applyBorder="1" applyAlignment="1" applyProtection="1">
      <alignment horizontal="center"/>
      <protection locked="0"/>
    </xf>
    <xf numFmtId="9" fontId="14" fillId="0" borderId="28" xfId="0" applyNumberFormat="1" applyFont="1" applyFill="1" applyBorder="1" applyAlignment="1" applyProtection="1">
      <alignment horizontal="center"/>
      <protection locked="0"/>
    </xf>
    <xf numFmtId="14" fontId="14" fillId="0" borderId="28" xfId="0" applyNumberFormat="1" applyFont="1" applyFill="1" applyBorder="1" applyAlignment="1" applyProtection="1">
      <alignment horizontal="center"/>
      <protection locked="0"/>
    </xf>
    <xf numFmtId="0" fontId="14" fillId="0" borderId="30" xfId="0" applyFont="1" applyFill="1" applyBorder="1" applyAlignment="1" applyProtection="1">
      <alignment horizontal="center"/>
      <protection locked="0"/>
    </xf>
    <xf numFmtId="10" fontId="15" fillId="2" borderId="0" xfId="0" applyNumberFormat="1" applyFont="1" applyFill="1" applyBorder="1" applyAlignment="1" applyProtection="1">
      <alignment horizontal="center"/>
      <protection hidden="1"/>
    </xf>
    <xf numFmtId="14" fontId="21" fillId="2" borderId="0" xfId="0" applyNumberFormat="1" applyFont="1" applyFill="1" applyAlignment="1" applyProtection="1">
      <alignment horizontal="center"/>
      <protection hidden="1"/>
    </xf>
    <xf numFmtId="0" fontId="29" fillId="8" borderId="0" xfId="0" applyFont="1" applyFill="1" applyBorder="1" applyAlignment="1" applyProtection="1">
      <alignment horizontal="left"/>
      <protection hidden="1"/>
    </xf>
    <xf numFmtId="9" fontId="14" fillId="8" borderId="0" xfId="0" applyNumberFormat="1" applyFont="1" applyFill="1" applyBorder="1" applyAlignment="1" applyProtection="1">
      <alignment/>
      <protection hidden="1"/>
    </xf>
    <xf numFmtId="4" fontId="0" fillId="0" borderId="31" xfId="0" applyNumberFormat="1" applyFont="1" applyBorder="1" applyAlignment="1" applyProtection="1">
      <alignment/>
      <protection hidden="1"/>
    </xf>
    <xf numFmtId="4" fontId="0" fillId="0" borderId="32" xfId="0" applyNumberFormat="1" applyFont="1" applyBorder="1" applyAlignment="1" applyProtection="1">
      <alignment/>
      <protection hidden="1"/>
    </xf>
    <xf numFmtId="176" fontId="21" fillId="0" borderId="0" xfId="0" applyNumberFormat="1" applyFont="1" applyAlignment="1" applyProtection="1">
      <alignment/>
      <protection hidden="1"/>
    </xf>
    <xf numFmtId="9" fontId="14" fillId="0" borderId="0" xfId="23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1" fontId="21" fillId="0" borderId="0" xfId="0" applyNumberFormat="1" applyFont="1" applyAlignment="1" applyProtection="1">
      <alignment horizontal="center"/>
      <protection hidden="1"/>
    </xf>
    <xf numFmtId="1" fontId="21" fillId="8" borderId="0" xfId="0" applyNumberFormat="1" applyFont="1" applyFill="1" applyAlignment="1" applyProtection="1">
      <alignment horizontal="center"/>
      <protection hidden="1"/>
    </xf>
    <xf numFmtId="1" fontId="21" fillId="15" borderId="0" xfId="0" applyNumberFormat="1" applyFont="1" applyFill="1" applyAlignment="1" applyProtection="1">
      <alignment horizontal="center"/>
      <protection hidden="1"/>
    </xf>
    <xf numFmtId="4" fontId="14" fillId="6" borderId="2" xfId="23" applyNumberFormat="1" applyFont="1" applyFill="1" applyBorder="1" applyAlignment="1" applyProtection="1">
      <alignment/>
      <protection hidden="1"/>
    </xf>
    <xf numFmtId="0" fontId="21" fillId="8" borderId="33" xfId="0" applyFont="1" applyFill="1" applyBorder="1" applyAlignment="1" applyProtection="1">
      <alignment horizontal="center"/>
      <protection hidden="1"/>
    </xf>
    <xf numFmtId="203" fontId="21" fillId="0" borderId="0" xfId="0" applyNumberFormat="1" applyFont="1" applyAlignment="1" applyProtection="1">
      <alignment horizontal="center"/>
      <protection hidden="1"/>
    </xf>
    <xf numFmtId="0" fontId="14" fillId="8" borderId="13" xfId="0" applyFont="1" applyFill="1" applyBorder="1" applyAlignment="1" applyProtection="1" quotePrefix="1">
      <alignment/>
      <protection hidden="1"/>
    </xf>
    <xf numFmtId="172" fontId="36" fillId="8" borderId="0" xfId="23" applyNumberFormat="1" applyFont="1" applyFill="1" applyBorder="1" applyAlignment="1" applyProtection="1">
      <alignment horizontal="center"/>
      <protection hidden="1"/>
    </xf>
    <xf numFmtId="1" fontId="21" fillId="0" borderId="0" xfId="0" applyNumberFormat="1" applyFont="1" applyAlignment="1" applyProtection="1">
      <alignment horizontal="center" textRotation="90"/>
      <protection hidden="1"/>
    </xf>
    <xf numFmtId="0" fontId="15" fillId="8" borderId="0" xfId="0" applyFont="1" applyFill="1" applyBorder="1" applyAlignment="1" applyProtection="1">
      <alignment horizontal="right"/>
      <protection hidden="1"/>
    </xf>
    <xf numFmtId="4" fontId="21" fillId="8" borderId="0" xfId="0" applyNumberFormat="1" applyFont="1" applyFill="1" applyBorder="1" applyAlignment="1" applyProtection="1">
      <alignment horizontal="center"/>
      <protection hidden="1"/>
    </xf>
    <xf numFmtId="4" fontId="21" fillId="8" borderId="0" xfId="0" applyNumberFormat="1" applyFont="1" applyFill="1" applyBorder="1" applyAlignment="1" applyProtection="1">
      <alignment/>
      <protection hidden="1"/>
    </xf>
    <xf numFmtId="0" fontId="14" fillId="8" borderId="8" xfId="0" applyFont="1" applyFill="1" applyBorder="1" applyAlignment="1" applyProtection="1">
      <alignment horizontal="center"/>
      <protection hidden="1"/>
    </xf>
    <xf numFmtId="9" fontId="21" fillId="8" borderId="10" xfId="0" applyNumberFormat="1" applyFont="1" applyFill="1" applyBorder="1" applyAlignment="1" applyProtection="1">
      <alignment/>
      <protection hidden="1"/>
    </xf>
    <xf numFmtId="9" fontId="21" fillId="8" borderId="8" xfId="0" applyNumberFormat="1" applyFont="1" applyFill="1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 horizontal="center"/>
      <protection hidden="1"/>
    </xf>
    <xf numFmtId="9" fontId="34" fillId="2" borderId="0" xfId="0" applyNumberFormat="1" applyFont="1" applyFill="1" applyAlignment="1" applyProtection="1">
      <alignment horizontal="center"/>
      <protection hidden="1"/>
    </xf>
    <xf numFmtId="211" fontId="14" fillId="2" borderId="0" xfId="0" applyNumberFormat="1" applyFont="1" applyFill="1" applyBorder="1" applyAlignment="1" applyProtection="1">
      <alignment horizontal="center" wrapText="1"/>
      <protection hidden="1"/>
    </xf>
    <xf numFmtId="207" fontId="14" fillId="8" borderId="0" xfId="0" applyNumberFormat="1" applyFont="1" applyFill="1" applyBorder="1" applyAlignment="1" applyProtection="1">
      <alignment horizontal="center"/>
      <protection hidden="1"/>
    </xf>
    <xf numFmtId="203" fontId="0" fillId="0" borderId="0" xfId="0" applyNumberFormat="1" applyFont="1" applyAlignment="1" applyProtection="1">
      <alignment horizontal="center"/>
      <protection hidden="1"/>
    </xf>
    <xf numFmtId="0" fontId="32" fillId="8" borderId="0" xfId="0" applyFont="1" applyFill="1" applyBorder="1" applyAlignment="1" applyProtection="1">
      <alignment/>
      <protection hidden="1"/>
    </xf>
    <xf numFmtId="176" fontId="21" fillId="8" borderId="0" xfId="0" applyNumberFormat="1" applyFont="1" applyFill="1" applyAlignment="1" applyProtection="1">
      <alignment horizontal="center"/>
      <protection hidden="1"/>
    </xf>
    <xf numFmtId="9" fontId="21" fillId="6" borderId="4" xfId="0" applyNumberFormat="1" applyFont="1" applyFill="1" applyBorder="1" applyAlignment="1" applyProtection="1">
      <alignment horizontal="center"/>
      <protection hidden="1"/>
    </xf>
    <xf numFmtId="4" fontId="37" fillId="2" borderId="0" xfId="0" applyNumberFormat="1" applyFont="1" applyFill="1" applyBorder="1" applyAlignment="1" applyProtection="1">
      <alignment horizontal="center" wrapText="1"/>
      <protection hidden="1"/>
    </xf>
    <xf numFmtId="4" fontId="14" fillId="8" borderId="34" xfId="23" applyNumberFormat="1" applyFont="1" applyFill="1" applyBorder="1" applyAlignment="1" applyProtection="1">
      <alignment/>
      <protection hidden="1"/>
    </xf>
    <xf numFmtId="0" fontId="14" fillId="8" borderId="0" xfId="0" applyFont="1" applyFill="1" applyBorder="1" applyAlignment="1" applyProtection="1" quotePrefix="1">
      <alignment/>
      <protection hidden="1"/>
    </xf>
    <xf numFmtId="9" fontId="38" fillId="6" borderId="2" xfId="0" applyNumberFormat="1" applyFont="1" applyFill="1" applyBorder="1" applyAlignment="1" applyProtection="1">
      <alignment horizontal="center" vertical="center"/>
      <protection hidden="1"/>
    </xf>
    <xf numFmtId="4" fontId="33" fillId="6" borderId="4" xfId="23" applyNumberFormat="1" applyFont="1" applyFill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 horizontal="center"/>
      <protection hidden="1"/>
    </xf>
    <xf numFmtId="176" fontId="38" fillId="8" borderId="0" xfId="0" applyNumberFormat="1" applyFont="1" applyFill="1" applyAlignment="1" applyProtection="1">
      <alignment/>
      <protection hidden="1"/>
    </xf>
    <xf numFmtId="176" fontId="38" fillId="0" borderId="0" xfId="0" applyNumberFormat="1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14" fontId="21" fillId="8" borderId="0" xfId="0" applyNumberFormat="1" applyFont="1" applyFill="1" applyAlignment="1" applyProtection="1">
      <alignment/>
      <protection hidden="1"/>
    </xf>
    <xf numFmtId="14" fontId="14" fillId="0" borderId="0" xfId="0" applyNumberFormat="1" applyFont="1" applyBorder="1" applyAlignment="1" applyProtection="1">
      <alignment/>
      <protection hidden="1"/>
    </xf>
    <xf numFmtId="3" fontId="14" fillId="8" borderId="0" xfId="0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17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/>
    </xf>
    <xf numFmtId="3" fontId="0" fillId="8" borderId="0" xfId="0" applyNumberFormat="1" applyFill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4" fontId="4" fillId="6" borderId="0" xfId="0" applyNumberFormat="1" applyFont="1" applyFill="1" applyAlignment="1" applyProtection="1">
      <alignment horizontal="center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0" fontId="14" fillId="4" borderId="4" xfId="0" applyFont="1" applyFill="1" applyBorder="1" applyAlignment="1" applyProtection="1">
      <alignment/>
      <protection hidden="1"/>
    </xf>
    <xf numFmtId="0" fontId="14" fillId="4" borderId="2" xfId="0" applyFont="1" applyFill="1" applyBorder="1" applyAlignment="1" applyProtection="1">
      <alignment/>
      <protection hidden="1"/>
    </xf>
    <xf numFmtId="0" fontId="0" fillId="4" borderId="8" xfId="0" applyFont="1" applyFill="1" applyBorder="1" applyAlignment="1" applyProtection="1">
      <alignment/>
      <protection hidden="1"/>
    </xf>
    <xf numFmtId="0" fontId="6" fillId="8" borderId="4" xfId="0" applyFont="1" applyFill="1" applyBorder="1" applyAlignment="1" applyProtection="1">
      <alignment/>
      <protection hidden="1"/>
    </xf>
    <xf numFmtId="0" fontId="0" fillId="8" borderId="2" xfId="0" applyFill="1" applyBorder="1" applyAlignment="1" applyProtection="1">
      <alignment horizontal="center"/>
      <protection hidden="1"/>
    </xf>
    <xf numFmtId="0" fontId="0" fillId="8" borderId="8" xfId="0" applyFill="1" applyBorder="1" applyAlignment="1" applyProtection="1">
      <alignment horizontal="center"/>
      <protection hidden="1"/>
    </xf>
    <xf numFmtId="0" fontId="4" fillId="8" borderId="35" xfId="0" applyFont="1" applyFill="1" applyBorder="1" applyAlignment="1" applyProtection="1">
      <alignment horizontal="center"/>
      <protection hidden="1"/>
    </xf>
    <xf numFmtId="0" fontId="4" fillId="8" borderId="36" xfId="0" applyFont="1" applyFill="1" applyBorder="1" applyAlignment="1" applyProtection="1">
      <alignment horizontal="center"/>
      <protection hidden="1"/>
    </xf>
    <xf numFmtId="0" fontId="4" fillId="8" borderId="37" xfId="0" applyFont="1" applyFill="1" applyBorder="1" applyAlignment="1" applyProtection="1">
      <alignment horizontal="center"/>
      <protection hidden="1"/>
    </xf>
    <xf numFmtId="0" fontId="4" fillId="8" borderId="38" xfId="0" applyFont="1" applyFill="1" applyBorder="1" applyAlignment="1" applyProtection="1">
      <alignment horizontal="center"/>
      <protection hidden="1"/>
    </xf>
    <xf numFmtId="0" fontId="4" fillId="8" borderId="33" xfId="0" applyFont="1" applyFill="1" applyBorder="1" applyAlignment="1" applyProtection="1">
      <alignment horizontal="center"/>
      <protection hidden="1"/>
    </xf>
    <xf numFmtId="0" fontId="4" fillId="8" borderId="10" xfId="0" applyFont="1" applyFill="1" applyBorder="1" applyAlignment="1" applyProtection="1">
      <alignment horizontal="center"/>
      <protection hidden="1"/>
    </xf>
    <xf numFmtId="0" fontId="4" fillId="8" borderId="36" xfId="0" applyFont="1" applyFill="1" applyBorder="1" applyAlignment="1" applyProtection="1">
      <alignment/>
      <protection hidden="1"/>
    </xf>
    <xf numFmtId="0" fontId="4" fillId="8" borderId="38" xfId="0" applyFont="1" applyFill="1" applyBorder="1" applyAlignment="1" applyProtection="1">
      <alignment/>
      <protection hidden="1"/>
    </xf>
    <xf numFmtId="0" fontId="4" fillId="2" borderId="37" xfId="0" applyFont="1" applyFill="1" applyBorder="1" applyAlignment="1" applyProtection="1">
      <alignment horizontal="center"/>
      <protection hidden="1"/>
    </xf>
    <xf numFmtId="9" fontId="21" fillId="0" borderId="0" xfId="23" applyFont="1" applyAlignment="1">
      <alignment horizontal="center"/>
    </xf>
    <xf numFmtId="0" fontId="21" fillId="0" borderId="0" xfId="0" applyFont="1" applyAlignment="1">
      <alignment/>
    </xf>
    <xf numFmtId="0" fontId="21" fillId="8" borderId="0" xfId="0" applyFont="1" applyFill="1" applyAlignment="1">
      <alignment horizontal="center"/>
    </xf>
    <xf numFmtId="4" fontId="4" fillId="8" borderId="0" xfId="0" applyNumberFormat="1" applyFont="1" applyFill="1" applyAlignment="1" applyProtection="1">
      <alignment/>
      <protection hidden="1"/>
    </xf>
    <xf numFmtId="0" fontId="40" fillId="8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21" fillId="5" borderId="0" xfId="0" applyFont="1" applyFill="1" applyBorder="1" applyAlignment="1" applyProtection="1">
      <alignment horizontal="right"/>
      <protection hidden="1"/>
    </xf>
    <xf numFmtId="0" fontId="0" fillId="8" borderId="0" xfId="0" applyFill="1" applyAlignment="1">
      <alignment/>
    </xf>
    <xf numFmtId="3" fontId="40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right"/>
    </xf>
    <xf numFmtId="0" fontId="21" fillId="4" borderId="0" xfId="0" applyFont="1" applyFill="1" applyBorder="1" applyAlignment="1" applyProtection="1">
      <alignment/>
      <protection hidden="1"/>
    </xf>
    <xf numFmtId="0" fontId="21" fillId="4" borderId="0" xfId="0" applyFont="1" applyFill="1" applyBorder="1" applyAlignment="1" applyProtection="1">
      <alignment horizontal="right"/>
      <protection hidden="1"/>
    </xf>
    <xf numFmtId="0" fontId="21" fillId="4" borderId="0" xfId="0" applyFont="1" applyFill="1" applyBorder="1" applyAlignment="1">
      <alignment horizontal="center"/>
    </xf>
    <xf numFmtId="9" fontId="0" fillId="0" borderId="0" xfId="23" applyAlignment="1">
      <alignment/>
    </xf>
    <xf numFmtId="9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9" fontId="21" fillId="0" borderId="0" xfId="23" applyFont="1" applyAlignment="1">
      <alignment/>
    </xf>
    <xf numFmtId="212" fontId="21" fillId="0" borderId="0" xfId="23" applyNumberFormat="1" applyFont="1" applyAlignment="1">
      <alignment horizontal="center"/>
    </xf>
    <xf numFmtId="3" fontId="0" fillId="4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15" borderId="0" xfId="0" applyNumberFormat="1" applyFill="1" applyAlignment="1">
      <alignment/>
    </xf>
    <xf numFmtId="3" fontId="0" fillId="8" borderId="0" xfId="0" applyNumberFormat="1" applyFill="1" applyAlignment="1">
      <alignment/>
    </xf>
    <xf numFmtId="4" fontId="4" fillId="8" borderId="0" xfId="0" applyNumberFormat="1" applyFont="1" applyFill="1" applyAlignment="1" applyProtection="1">
      <alignment horizontal="right"/>
      <protection hidden="1"/>
    </xf>
    <xf numFmtId="4" fontId="7" fillId="8" borderId="0" xfId="0" applyNumberFormat="1" applyFont="1" applyFill="1" applyAlignment="1" applyProtection="1">
      <alignment horizontal="center"/>
      <protection hidden="1"/>
    </xf>
    <xf numFmtId="0" fontId="4" fillId="8" borderId="0" xfId="0" applyNumberFormat="1" applyFont="1" applyFill="1" applyAlignment="1" applyProtection="1">
      <alignment horizontal="center"/>
      <protection hidden="1"/>
    </xf>
    <xf numFmtId="4" fontId="5" fillId="8" borderId="0" xfId="0" applyNumberFormat="1" applyFont="1" applyFill="1" applyAlignment="1" applyProtection="1">
      <alignment horizontal="center"/>
      <protection hidden="1"/>
    </xf>
    <xf numFmtId="3" fontId="0" fillId="5" borderId="0" xfId="0" applyNumberFormat="1" applyFill="1" applyBorder="1" applyAlignment="1">
      <alignment/>
    </xf>
    <xf numFmtId="0" fontId="21" fillId="5" borderId="0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/>
      <protection hidden="1"/>
    </xf>
    <xf numFmtId="0" fontId="0" fillId="4" borderId="3" xfId="0" applyFont="1" applyFill="1" applyBorder="1" applyAlignment="1" applyProtection="1">
      <alignment/>
      <protection hidden="1"/>
    </xf>
    <xf numFmtId="0" fontId="14" fillId="8" borderId="39" xfId="0" applyFont="1" applyFill="1" applyBorder="1" applyAlignment="1" applyProtection="1">
      <alignment horizontal="center"/>
      <protection hidden="1"/>
    </xf>
    <xf numFmtId="9" fontId="29" fillId="14" borderId="7" xfId="23" applyFont="1" applyFill="1" applyBorder="1" applyAlignment="1" applyProtection="1">
      <alignment horizontal="center"/>
      <protection hidden="1"/>
    </xf>
    <xf numFmtId="0" fontId="0" fillId="8" borderId="40" xfId="0" applyFont="1" applyFill="1" applyBorder="1" applyAlignment="1" applyProtection="1">
      <alignment/>
      <protection hidden="1"/>
    </xf>
    <xf numFmtId="9" fontId="14" fillId="8" borderId="0" xfId="23" applyFont="1" applyFill="1" applyBorder="1" applyAlignment="1" applyProtection="1">
      <alignment horizontal="right"/>
      <protection hidden="1"/>
    </xf>
    <xf numFmtId="0" fontId="22" fillId="8" borderId="0" xfId="0" applyFont="1" applyFill="1" applyBorder="1" applyAlignment="1" applyProtection="1">
      <alignment horizontal="center"/>
      <protection hidden="1"/>
    </xf>
    <xf numFmtId="1" fontId="14" fillId="8" borderId="41" xfId="23" applyNumberFormat="1" applyFont="1" applyFill="1" applyBorder="1" applyAlignment="1" applyProtection="1">
      <alignment horizontal="center"/>
      <protection hidden="1"/>
    </xf>
    <xf numFmtId="4" fontId="39" fillId="8" borderId="0" xfId="0" applyNumberFormat="1" applyFont="1" applyFill="1" applyBorder="1" applyAlignment="1" applyProtection="1">
      <alignment/>
      <protection hidden="1"/>
    </xf>
    <xf numFmtId="0" fontId="21" fillId="8" borderId="0" xfId="0" applyFont="1" applyFill="1" applyBorder="1" applyAlignment="1" applyProtection="1" quotePrefix="1">
      <alignment/>
      <protection hidden="1"/>
    </xf>
    <xf numFmtId="0" fontId="14" fillId="5" borderId="42" xfId="0" applyFont="1" applyFill="1" applyBorder="1" applyAlignment="1" applyProtection="1">
      <alignment/>
      <protection hidden="1"/>
    </xf>
    <xf numFmtId="0" fontId="14" fillId="5" borderId="8" xfId="0" applyFont="1" applyFill="1" applyBorder="1" applyAlignment="1" applyProtection="1">
      <alignment/>
      <protection hidden="1"/>
    </xf>
    <xf numFmtId="14" fontId="0" fillId="0" borderId="28" xfId="0" applyNumberFormat="1" applyFont="1" applyFill="1" applyBorder="1" applyAlignment="1" applyProtection="1">
      <alignment horizontal="center"/>
      <protection locked="0"/>
    </xf>
    <xf numFmtId="4" fontId="1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13" borderId="0" xfId="0" applyFont="1" applyFill="1" applyBorder="1" applyAlignment="1" applyProtection="1">
      <alignment/>
      <protection hidden="1"/>
    </xf>
    <xf numFmtId="4" fontId="7" fillId="15" borderId="0" xfId="0" applyNumberFormat="1" applyFont="1" applyFill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 horizontal="right"/>
      <protection hidden="1"/>
    </xf>
    <xf numFmtId="4" fontId="12" fillId="7" borderId="0" xfId="0" applyNumberFormat="1" applyFont="1" applyFill="1" applyAlignment="1" applyProtection="1">
      <alignment/>
      <protection hidden="1"/>
    </xf>
    <xf numFmtId="4" fontId="12" fillId="10" borderId="0" xfId="0" applyNumberFormat="1" applyFont="1" applyFill="1" applyAlignment="1" applyProtection="1">
      <alignment/>
      <protection hidden="1"/>
    </xf>
    <xf numFmtId="4" fontId="12" fillId="11" borderId="0" xfId="0" applyNumberFormat="1" applyFont="1" applyFill="1" applyAlignment="1" applyProtection="1">
      <alignment/>
      <protection hidden="1"/>
    </xf>
    <xf numFmtId="4" fontId="12" fillId="9" borderId="0" xfId="0" applyNumberFormat="1" applyFont="1" applyFill="1" applyAlignment="1" applyProtection="1">
      <alignment/>
      <protection hidden="1"/>
    </xf>
    <xf numFmtId="0" fontId="5" fillId="8" borderId="0" xfId="0" applyFont="1" applyFill="1" applyBorder="1" applyAlignment="1" applyProtection="1">
      <alignment horizontal="center"/>
      <protection hidden="1"/>
    </xf>
    <xf numFmtId="4" fontId="4" fillId="8" borderId="0" xfId="0" applyNumberFormat="1" applyFont="1" applyFill="1" applyBorder="1" applyAlignment="1" applyProtection="1">
      <alignment/>
      <protection hidden="1"/>
    </xf>
    <xf numFmtId="4" fontId="4" fillId="8" borderId="32" xfId="0" applyNumberFormat="1" applyFont="1" applyFill="1" applyBorder="1" applyAlignment="1" applyProtection="1">
      <alignment/>
      <protection hidden="1"/>
    </xf>
    <xf numFmtId="4" fontId="4" fillId="8" borderId="32" xfId="0" applyNumberFormat="1" applyFont="1" applyFill="1" applyBorder="1" applyAlignment="1" applyProtection="1">
      <alignment/>
      <protection hidden="1"/>
    </xf>
    <xf numFmtId="4" fontId="4" fillId="8" borderId="0" xfId="0" applyNumberFormat="1" applyFont="1" applyFill="1" applyBorder="1" applyAlignment="1" applyProtection="1">
      <alignment/>
      <protection hidden="1"/>
    </xf>
    <xf numFmtId="4" fontId="12" fillId="12" borderId="0" xfId="0" applyNumberFormat="1" applyFont="1" applyFill="1" applyAlignment="1" applyProtection="1">
      <alignment/>
      <protection hidden="1"/>
    </xf>
    <xf numFmtId="4" fontId="4" fillId="15" borderId="0" xfId="0" applyNumberFormat="1" applyFont="1" applyFill="1" applyAlignment="1" applyProtection="1">
      <alignment/>
      <protection hidden="1"/>
    </xf>
    <xf numFmtId="4" fontId="4" fillId="15" borderId="0" xfId="0" applyNumberFormat="1" applyFont="1" applyFill="1" applyAlignment="1" applyProtection="1">
      <alignment horizontal="center"/>
      <protection hidden="1"/>
    </xf>
    <xf numFmtId="9" fontId="29" fillId="8" borderId="7" xfId="23" applyFont="1" applyFill="1" applyBorder="1" applyAlignment="1" applyProtection="1">
      <alignment horizontal="center"/>
      <protection hidden="1"/>
    </xf>
    <xf numFmtId="3" fontId="14" fillId="17" borderId="0" xfId="0" applyNumberFormat="1" applyFont="1" applyFill="1" applyBorder="1" applyAlignment="1" applyProtection="1">
      <alignment horizontal="center"/>
      <protection hidden="1"/>
    </xf>
    <xf numFmtId="0" fontId="0" fillId="17" borderId="0" xfId="0" applyFont="1" applyFill="1" applyBorder="1" applyAlignment="1" applyProtection="1">
      <alignment/>
      <protection hidden="1"/>
    </xf>
    <xf numFmtId="0" fontId="14" fillId="5" borderId="0" xfId="0" applyFont="1" applyFill="1" applyBorder="1" applyAlignment="1" applyProtection="1">
      <alignment horizontal="right"/>
      <protection hidden="1"/>
    </xf>
    <xf numFmtId="0" fontId="14" fillId="5" borderId="0" xfId="0" applyFont="1" applyFill="1" applyBorder="1" applyAlignment="1" applyProtection="1" quotePrefix="1">
      <alignment horizontal="center"/>
      <protection hidden="1"/>
    </xf>
    <xf numFmtId="0" fontId="14" fillId="5" borderId="0" xfId="0" applyFont="1" applyFill="1" applyBorder="1" applyAlignment="1" applyProtection="1">
      <alignment horizontal="center"/>
      <protection hidden="1"/>
    </xf>
    <xf numFmtId="0" fontId="14" fillId="5" borderId="6" xfId="0" applyFont="1" applyFill="1" applyBorder="1" applyAlignment="1" applyProtection="1">
      <alignment horizontal="center"/>
      <protection hidden="1"/>
    </xf>
    <xf numFmtId="0" fontId="14" fillId="5" borderId="25" xfId="0" applyFont="1" applyFill="1" applyBorder="1" applyAlignment="1" applyProtection="1">
      <alignment horizontal="center"/>
      <protection hidden="1"/>
    </xf>
    <xf numFmtId="204" fontId="14" fillId="0" borderId="0" xfId="0" applyNumberFormat="1" applyFont="1" applyBorder="1" applyAlignment="1" applyProtection="1">
      <alignment/>
      <protection hidden="1"/>
    </xf>
    <xf numFmtId="0" fontId="14" fillId="8" borderId="0" xfId="0" applyFont="1" applyFill="1" applyBorder="1" applyAlignment="1" applyProtection="1">
      <alignment horizontal="center" wrapText="1"/>
      <protection hidden="1"/>
    </xf>
    <xf numFmtId="0" fontId="21" fillId="13" borderId="0" xfId="0" applyFont="1" applyFill="1" applyBorder="1" applyAlignment="1" applyProtection="1">
      <alignment horizontal="center" wrapText="1"/>
      <protection hidden="1"/>
    </xf>
    <xf numFmtId="0" fontId="21" fillId="3" borderId="0" xfId="0" applyFont="1" applyFill="1" applyAlignment="1" applyProtection="1">
      <alignment horizontal="center" wrapText="1"/>
      <protection hidden="1"/>
    </xf>
    <xf numFmtId="0" fontId="32" fillId="8" borderId="0" xfId="0" applyFont="1" applyFill="1" applyAlignment="1">
      <alignment horizontal="center"/>
    </xf>
    <xf numFmtId="0" fontId="24" fillId="16" borderId="0" xfId="0" applyFont="1" applyFill="1" applyBorder="1" applyAlignment="1" applyProtection="1">
      <alignment horizontal="center" vertical="center"/>
      <protection hidden="1"/>
    </xf>
    <xf numFmtId="14" fontId="21" fillId="8" borderId="3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right" vertical="center" textRotation="90"/>
      <protection hidden="1"/>
    </xf>
    <xf numFmtId="3" fontId="41" fillId="8" borderId="43" xfId="0" applyNumberFormat="1" applyFont="1" applyFill="1" applyBorder="1" applyAlignment="1" applyProtection="1">
      <alignment horizontal="center"/>
      <protection hidden="1"/>
    </xf>
    <xf numFmtId="4" fontId="14" fillId="14" borderId="4" xfId="23" applyNumberFormat="1" applyFont="1" applyFill="1" applyBorder="1" applyAlignment="1" applyProtection="1">
      <alignment/>
      <protection hidden="1"/>
    </xf>
    <xf numFmtId="9" fontId="34" fillId="4" borderId="0" xfId="0" applyNumberFormat="1" applyFont="1" applyFill="1" applyAlignment="1" applyProtection="1">
      <alignment horizontal="center"/>
      <protection hidden="1"/>
    </xf>
    <xf numFmtId="0" fontId="14" fillId="8" borderId="0" xfId="0" applyFont="1" applyFill="1" applyAlignment="1" applyProtection="1">
      <alignment/>
      <protection hidden="1"/>
    </xf>
    <xf numFmtId="4" fontId="33" fillId="14" borderId="4" xfId="23" applyNumberFormat="1" applyFont="1" applyFill="1" applyBorder="1" applyAlignment="1" applyProtection="1">
      <alignment/>
      <protection hidden="1"/>
    </xf>
    <xf numFmtId="49" fontId="14" fillId="0" borderId="0" xfId="0" applyNumberFormat="1" applyFont="1" applyAlignment="1" applyProtection="1">
      <alignment/>
      <protection hidden="1"/>
    </xf>
    <xf numFmtId="9" fontId="0" fillId="0" borderId="0" xfId="0" applyNumberFormat="1" applyFont="1" applyBorder="1" applyAlignment="1" applyProtection="1">
      <alignment vertical="center"/>
      <protection hidden="1"/>
    </xf>
    <xf numFmtId="0" fontId="0" fillId="8" borderId="3" xfId="0" applyFont="1" applyFill="1" applyBorder="1" applyAlignment="1" applyProtection="1">
      <alignment/>
      <protection hidden="1"/>
    </xf>
    <xf numFmtId="0" fontId="29" fillId="8" borderId="3" xfId="0" applyFont="1" applyFill="1" applyBorder="1" applyAlignment="1" applyProtection="1">
      <alignment horizontal="center"/>
      <protection hidden="1"/>
    </xf>
    <xf numFmtId="9" fontId="14" fillId="8" borderId="44" xfId="23" applyFont="1" applyFill="1" applyBorder="1" applyAlignment="1" applyProtection="1">
      <alignment horizontal="center"/>
      <protection hidden="1"/>
    </xf>
    <xf numFmtId="172" fontId="17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4" xfId="0" applyFont="1" applyFill="1" applyBorder="1" applyAlignment="1" applyProtection="1">
      <alignment horizontal="center"/>
      <protection hidden="1"/>
    </xf>
    <xf numFmtId="0" fontId="14" fillId="8" borderId="10" xfId="0" applyFont="1" applyFill="1" applyBorder="1" applyAlignment="1" applyProtection="1">
      <alignment horizontal="center"/>
      <protection hidden="1"/>
    </xf>
    <xf numFmtId="0" fontId="24" fillId="16" borderId="0" xfId="0" applyFont="1" applyFill="1" applyBorder="1" applyAlignment="1" applyProtection="1">
      <alignment vertical="center"/>
      <protection hidden="1"/>
    </xf>
    <xf numFmtId="4" fontId="14" fillId="8" borderId="11" xfId="23" applyNumberFormat="1" applyFont="1" applyFill="1" applyBorder="1" applyAlignment="1" applyProtection="1">
      <alignment/>
      <protection hidden="1"/>
    </xf>
    <xf numFmtId="4" fontId="33" fillId="8" borderId="45" xfId="23" applyNumberFormat="1" applyFont="1" applyFill="1" applyBorder="1" applyAlignment="1" applyProtection="1">
      <alignment/>
      <protection hidden="1"/>
    </xf>
    <xf numFmtId="4" fontId="33" fillId="8" borderId="11" xfId="23" applyNumberFormat="1" applyFont="1" applyFill="1" applyBorder="1" applyAlignment="1" applyProtection="1">
      <alignment/>
      <protection hidden="1"/>
    </xf>
    <xf numFmtId="14" fontId="21" fillId="8" borderId="11" xfId="0" applyNumberFormat="1" applyFont="1" applyFill="1" applyBorder="1" applyAlignment="1" applyProtection="1">
      <alignment/>
      <protection hidden="1"/>
    </xf>
    <xf numFmtId="1" fontId="14" fillId="8" borderId="6" xfId="0" applyNumberFormat="1" applyFont="1" applyFill="1" applyBorder="1" applyAlignment="1" applyProtection="1">
      <alignment horizontal="center"/>
      <protection hidden="1"/>
    </xf>
    <xf numFmtId="186" fontId="0" fillId="0" borderId="0" xfId="0" applyNumberFormat="1" applyFont="1" applyBorder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9" fontId="20" fillId="0" borderId="0" xfId="0" applyNumberFormat="1" applyFont="1" applyFill="1" applyBorder="1" applyAlignment="1" applyProtection="1">
      <alignment horizontal="left"/>
      <protection hidden="1"/>
    </xf>
    <xf numFmtId="0" fontId="43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213" fontId="23" fillId="8" borderId="0" xfId="0" applyNumberFormat="1" applyFont="1" applyFill="1" applyAlignment="1" applyProtection="1">
      <alignment horizontal="center"/>
      <protection hidden="1"/>
    </xf>
    <xf numFmtId="9" fontId="0" fillId="0" borderId="0" xfId="0" applyNumberFormat="1" applyFont="1" applyBorder="1" applyAlignment="1" applyProtection="1">
      <alignment horizontal="right" vertical="center"/>
      <protection hidden="1"/>
    </xf>
    <xf numFmtId="0" fontId="15" fillId="8" borderId="6" xfId="0" applyFont="1" applyFill="1" applyBorder="1" applyAlignment="1" applyProtection="1">
      <alignment horizontal="center"/>
      <protection hidden="1"/>
    </xf>
    <xf numFmtId="172" fontId="17" fillId="8" borderId="0" xfId="0" applyNumberFormat="1" applyFont="1" applyFill="1" applyBorder="1" applyAlignment="1" applyProtection="1">
      <alignment horizontal="center"/>
      <protection hidden="1"/>
    </xf>
    <xf numFmtId="4" fontId="15" fillId="8" borderId="14" xfId="0" applyNumberFormat="1" applyFont="1" applyFill="1" applyBorder="1" applyAlignment="1" applyProtection="1">
      <alignment horizontal="center" wrapText="1"/>
      <protection hidden="1"/>
    </xf>
    <xf numFmtId="4" fontId="14" fillId="8" borderId="5" xfId="0" applyNumberFormat="1" applyFont="1" applyFill="1" applyBorder="1" applyAlignment="1" applyProtection="1">
      <alignment horizontal="center" vertical="center"/>
      <protection hidden="1"/>
    </xf>
    <xf numFmtId="4" fontId="14" fillId="2" borderId="5" xfId="0" applyNumberFormat="1" applyFont="1" applyFill="1" applyBorder="1" applyAlignment="1" applyProtection="1">
      <alignment wrapText="1"/>
      <protection hidden="1"/>
    </xf>
    <xf numFmtId="186" fontId="14" fillId="0" borderId="28" xfId="0" applyNumberFormat="1" applyFont="1" applyFill="1" applyBorder="1" applyAlignment="1" applyProtection="1">
      <alignment horizontal="center"/>
      <protection locked="0"/>
    </xf>
    <xf numFmtId="4" fontId="4" fillId="8" borderId="0" xfId="0" applyNumberFormat="1" applyFont="1" applyFill="1" applyAlignment="1" applyProtection="1">
      <alignment/>
      <protection locked="0"/>
    </xf>
    <xf numFmtId="4" fontId="4" fillId="8" borderId="0" xfId="0" applyNumberFormat="1" applyFont="1" applyFill="1" applyAlignment="1" applyProtection="1">
      <alignment/>
      <protection locked="0"/>
    </xf>
    <xf numFmtId="4" fontId="14" fillId="0" borderId="0" xfId="0" applyNumberFormat="1" applyFont="1" applyFill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189" fontId="14" fillId="0" borderId="28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/>
      <protection hidden="1"/>
    </xf>
    <xf numFmtId="9" fontId="14" fillId="0" borderId="0" xfId="0" applyNumberFormat="1" applyFont="1" applyBorder="1" applyAlignment="1" applyProtection="1">
      <alignment horizontal="left"/>
      <protection hidden="1"/>
    </xf>
    <xf numFmtId="0" fontId="17" fillId="8" borderId="0" xfId="0" applyFont="1" applyFill="1" applyAlignment="1">
      <alignment horizontal="center"/>
    </xf>
    <xf numFmtId="3" fontId="40" fillId="8" borderId="0" xfId="0" applyNumberFormat="1" applyFont="1" applyFill="1" applyAlignment="1">
      <alignment/>
    </xf>
    <xf numFmtId="0" fontId="14" fillId="0" borderId="47" xfId="0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4" fontId="4" fillId="8" borderId="37" xfId="0" applyNumberFormat="1" applyFont="1" applyFill="1" applyBorder="1" applyAlignment="1" applyProtection="1">
      <alignment horizontal="center" textRotation="90"/>
      <protection hidden="1"/>
    </xf>
    <xf numFmtId="4" fontId="4" fillId="8" borderId="33" xfId="0" applyNumberFormat="1" applyFont="1" applyFill="1" applyBorder="1" applyAlignment="1" applyProtection="1">
      <alignment horizontal="center" textRotation="90"/>
      <protection hidden="1"/>
    </xf>
    <xf numFmtId="1" fontId="21" fillId="0" borderId="0" xfId="0" applyNumberFormat="1" applyFont="1" applyAlignment="1" applyProtection="1">
      <alignment horizontal="center" textRotation="90"/>
      <protection hidden="1"/>
    </xf>
    <xf numFmtId="0" fontId="24" fillId="16" borderId="48" xfId="0" applyFont="1" applyFill="1" applyBorder="1" applyAlignment="1" applyProtection="1">
      <alignment horizontal="center" vertical="center"/>
      <protection hidden="1"/>
    </xf>
    <xf numFmtId="0" fontId="24" fillId="16" borderId="9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49" xfId="0" applyFont="1" applyFill="1" applyBorder="1" applyAlignment="1" applyProtection="1">
      <alignment/>
      <protection locked="0"/>
    </xf>
    <xf numFmtId="49" fontId="0" fillId="0" borderId="22" xfId="0" applyNumberFormat="1" applyFont="1" applyFill="1" applyBorder="1" applyAlignment="1" applyProtection="1">
      <alignment/>
      <protection locked="0"/>
    </xf>
    <xf numFmtId="49" fontId="0" fillId="0" borderId="49" xfId="0" applyNumberFormat="1" applyFont="1" applyFill="1" applyBorder="1" applyAlignment="1" applyProtection="1">
      <alignment/>
      <protection locked="0"/>
    </xf>
    <xf numFmtId="0" fontId="14" fillId="0" borderId="22" xfId="0" applyFont="1" applyFill="1" applyBorder="1" applyAlignment="1" applyProtection="1">
      <alignment/>
      <protection locked="0"/>
    </xf>
    <xf numFmtId="0" fontId="14" fillId="0" borderId="23" xfId="0" applyFont="1" applyFill="1" applyBorder="1" applyAlignment="1" applyProtection="1">
      <alignment/>
      <protection locked="0"/>
    </xf>
    <xf numFmtId="0" fontId="14" fillId="8" borderId="50" xfId="0" applyFont="1" applyFill="1" applyBorder="1" applyAlignment="1" applyProtection="1">
      <alignment horizontal="center"/>
      <protection hidden="1"/>
    </xf>
    <xf numFmtId="0" fontId="14" fillId="8" borderId="7" xfId="0" applyFont="1" applyFill="1" applyBorder="1" applyAlignment="1" applyProtection="1">
      <alignment horizontal="center"/>
      <protection hidden="1"/>
    </xf>
    <xf numFmtId="0" fontId="0" fillId="0" borderId="51" xfId="0" applyFont="1" applyFill="1" applyBorder="1" applyAlignment="1" applyProtection="1">
      <alignment/>
      <protection locked="0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4" fontId="14" fillId="2" borderId="0" xfId="0" applyNumberFormat="1" applyFont="1" applyFill="1" applyBorder="1" applyAlignment="1" applyProtection="1">
      <alignment horizontal="center" textRotation="90" wrapText="1"/>
      <protection hidden="1"/>
    </xf>
    <xf numFmtId="0" fontId="14" fillId="0" borderId="0" xfId="0" applyFont="1" applyAlignment="1" applyProtection="1">
      <alignment horizontal="center" textRotation="90" wrapText="1"/>
      <protection hidden="1"/>
    </xf>
    <xf numFmtId="0" fontId="21" fillId="0" borderId="0" xfId="0" applyFont="1" applyAlignment="1" applyProtection="1">
      <alignment horizontal="center" textRotation="90"/>
      <protection hidden="1"/>
    </xf>
  </cellXfs>
  <cellStyles count="12">
    <cellStyle name="Normal" xfId="0"/>
    <cellStyle name="#.##0,#ROT-" xfId="15"/>
    <cellStyle name="#.##0,00 ROT-" xfId="16"/>
    <cellStyle name="%" xfId="17"/>
    <cellStyle name="%-1" xfId="18"/>
    <cellStyle name="datum" xfId="19"/>
    <cellStyle name="datum2000" xfId="20"/>
    <cellStyle name="Comma" xfId="21"/>
    <cellStyle name="Comma [0]" xfId="22"/>
    <cellStyle name="Percent" xfId="23"/>
    <cellStyle name="Standard_KOST_STD" xfId="24"/>
    <cellStyle name="Currenc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9</xdr:row>
      <xdr:rowOff>9525</xdr:rowOff>
    </xdr:from>
    <xdr:to>
      <xdr:col>16</xdr:col>
      <xdr:colOff>9525</xdr:colOff>
      <xdr:row>13</xdr:row>
      <xdr:rowOff>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6229350" y="1352550"/>
          <a:ext cx="27241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( a - b ) x ( c' - b' )
 Honorar a' = b' + ----------------------------
                                   c - 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</xdr:row>
      <xdr:rowOff>9525</xdr:rowOff>
    </xdr:from>
    <xdr:to>
      <xdr:col>8</xdr:col>
      <xdr:colOff>247650</xdr:colOff>
      <xdr:row>16</xdr:row>
      <xdr:rowOff>95250</xdr:rowOff>
    </xdr:to>
    <xdr:sp>
      <xdr:nvSpPr>
        <xdr:cNvPr id="1" name="TextBox 143"/>
        <xdr:cNvSpPr txBox="1">
          <a:spLocks noChangeArrowheads="1"/>
        </xdr:cNvSpPr>
      </xdr:nvSpPr>
      <xdr:spPr>
        <a:xfrm>
          <a:off x="4972050" y="447675"/>
          <a:ext cx="371475" cy="23622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2000" b="0" i="0" u="none" baseline="0">
              <a:solidFill>
                <a:srgbClr val="969696"/>
              </a:solidFill>
            </a:rPr>
            <a:t>DEMO-VERSION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28575</xdr:rowOff>
    </xdr:from>
    <xdr:to>
      <xdr:col>13</xdr:col>
      <xdr:colOff>742950</xdr:colOff>
      <xdr:row>5</xdr:row>
      <xdr:rowOff>733425</xdr:rowOff>
    </xdr:to>
    <xdr:sp>
      <xdr:nvSpPr>
        <xdr:cNvPr id="1" name="TextBox 103"/>
        <xdr:cNvSpPr txBox="1">
          <a:spLocks noChangeArrowheads="1"/>
        </xdr:cNvSpPr>
      </xdr:nvSpPr>
      <xdr:spPr>
        <a:xfrm>
          <a:off x="342900" y="838200"/>
          <a:ext cx="5657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808080"/>
              </a:solidFill>
            </a:rPr>
            <a:t>DEMO-VERSION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workbookViewId="0" topLeftCell="A1">
      <selection activeCell="B2" sqref="B2"/>
    </sheetView>
  </sheetViews>
  <sheetFormatPr defaultColWidth="11.421875" defaultRowHeight="12.75"/>
  <cols>
    <col min="1" max="1" width="3.28125" style="264" customWidth="1"/>
    <col min="3" max="4" width="11.421875" style="272" customWidth="1"/>
    <col min="5" max="5" width="3.28125" style="0" customWidth="1"/>
    <col min="6" max="11" width="11.421875" style="272" customWidth="1"/>
    <col min="12" max="12" width="3.00390625" style="0" customWidth="1"/>
    <col min="13" max="13" width="15.00390625" style="0" bestFit="1" customWidth="1"/>
    <col min="14" max="14" width="3.7109375" style="0" bestFit="1" customWidth="1"/>
    <col min="15" max="15" width="3.421875" style="0" bestFit="1" customWidth="1"/>
    <col min="16" max="16" width="3.7109375" style="0" bestFit="1" customWidth="1"/>
    <col min="17" max="18" width="3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5.57421875" style="0" customWidth="1"/>
    <col min="23" max="23" width="5.00390625" style="0" customWidth="1"/>
  </cols>
  <sheetData>
    <row r="1" spans="1:20" ht="12.75">
      <c r="A1" s="295">
        <f>IF(STAMMDATEN!A26="X","X","")</f>
      </c>
      <c r="B1" s="319" t="s">
        <v>166</v>
      </c>
      <c r="C1" s="317"/>
      <c r="D1" s="297" t="s">
        <v>163</v>
      </c>
      <c r="E1" s="318">
        <v>38</v>
      </c>
      <c r="F1" s="299">
        <f>IF(STAMMDATEN!A15="X","X","")</f>
      </c>
      <c r="G1" s="299">
        <f>IF(STAMMDATEN!A16="X","X","")</f>
      </c>
      <c r="H1" s="299" t="str">
        <f>IF(STAMMDATEN!A17="X","X","")</f>
        <v>X</v>
      </c>
      <c r="I1" s="299">
        <f>IF(STAMMDATEN!A18="X","X","")</f>
      </c>
      <c r="J1" s="299">
        <f>IF(STAMMDATEN!A19="X","X","")</f>
      </c>
      <c r="K1" s="271"/>
      <c r="L1" s="298"/>
      <c r="M1" s="360" t="s">
        <v>198</v>
      </c>
      <c r="N1" s="300"/>
      <c r="O1" s="300"/>
      <c r="P1" s="293">
        <v>0</v>
      </c>
      <c r="Q1" s="293">
        <v>1</v>
      </c>
      <c r="R1" s="293">
        <v>2</v>
      </c>
      <c r="S1" s="293">
        <v>3</v>
      </c>
      <c r="T1" s="293">
        <v>4</v>
      </c>
    </row>
    <row r="2" spans="2:20" ht="12.75">
      <c r="B2" s="403" t="s">
        <v>221</v>
      </c>
      <c r="C2" s="271"/>
      <c r="D2" s="271"/>
      <c r="F2" s="265" t="s">
        <v>151</v>
      </c>
      <c r="G2" s="266" t="s">
        <v>152</v>
      </c>
      <c r="H2" s="267" t="s">
        <v>153</v>
      </c>
      <c r="I2" s="268" t="s">
        <v>154</v>
      </c>
      <c r="J2" s="269" t="s">
        <v>155</v>
      </c>
      <c r="K2" s="270"/>
      <c r="L2" s="298"/>
      <c r="M2" s="279" t="s">
        <v>71</v>
      </c>
      <c r="N2" s="280" t="s">
        <v>62</v>
      </c>
      <c r="O2" s="281" t="s">
        <v>63</v>
      </c>
      <c r="P2" s="295">
        <f>IF(STAMMDATEN!$C$15="X","X","")</f>
      </c>
      <c r="Q2" s="295">
        <f>IF(STAMMDATEN!$C$16="X","X","")</f>
      </c>
      <c r="R2" s="295" t="str">
        <f>IF(STAMMDATEN!$C$17="X","X","")</f>
        <v>X</v>
      </c>
      <c r="S2" s="295">
        <f>IF(STAMMDATEN!$C$18="X","X","")</f>
      </c>
      <c r="T2" s="295">
        <f>IF(STAMMDATEN!$C$19="X","X","")</f>
      </c>
    </row>
    <row r="3" spans="2:21" ht="12.75">
      <c r="B3" s="298"/>
      <c r="C3" s="271"/>
      <c r="D3" s="271"/>
      <c r="F3" s="271"/>
      <c r="G3" s="266" t="s">
        <v>62</v>
      </c>
      <c r="H3" s="266" t="s">
        <v>63</v>
      </c>
      <c r="I3" s="268" t="s">
        <v>62</v>
      </c>
      <c r="J3" s="268" t="s">
        <v>63</v>
      </c>
      <c r="K3" s="270"/>
      <c r="L3" s="295">
        <f>IF(F1="X","X","")</f>
      </c>
      <c r="M3" s="288" t="s">
        <v>8</v>
      </c>
      <c r="N3" s="282">
        <v>0</v>
      </c>
      <c r="O3" s="283">
        <v>9</v>
      </c>
      <c r="P3" s="290">
        <f aca="true" t="shared" si="0" ref="P3:T7">IF($A$1="X",SUM($O3-$N3)/4*P$1,"")</f>
      </c>
      <c r="Q3" s="290">
        <f t="shared" si="0"/>
      </c>
      <c r="R3" s="290">
        <f t="shared" si="0"/>
      </c>
      <c r="S3" s="290">
        <f t="shared" si="0"/>
      </c>
      <c r="T3" s="290">
        <f t="shared" si="0"/>
      </c>
      <c r="U3" s="284">
        <f>IF($P$2="X",P3,IF($Q$2="X",Q3,IF($R$2="X",R3,IF($S$2="X",S3,IF($T$2="X",T3,"")))))</f>
      </c>
    </row>
    <row r="4" spans="2:21" ht="12.75">
      <c r="B4" s="264" t="s">
        <v>167</v>
      </c>
      <c r="C4" s="296" t="s">
        <v>169</v>
      </c>
      <c r="F4" s="265" t="s">
        <v>62</v>
      </c>
      <c r="G4" s="265" t="s">
        <v>63</v>
      </c>
      <c r="H4" s="267" t="s">
        <v>62</v>
      </c>
      <c r="I4" s="267" t="s">
        <v>63</v>
      </c>
      <c r="J4" s="269" t="s">
        <v>62</v>
      </c>
      <c r="K4" s="269" t="s">
        <v>63</v>
      </c>
      <c r="L4" s="295">
        <f>IF(G1="X","X","")</f>
      </c>
      <c r="M4" s="289" t="s">
        <v>10</v>
      </c>
      <c r="N4" s="284">
        <v>10</v>
      </c>
      <c r="O4" s="285">
        <v>14</v>
      </c>
      <c r="P4" s="290">
        <f t="shared" si="0"/>
      </c>
      <c r="Q4" s="290">
        <f t="shared" si="0"/>
      </c>
      <c r="R4" s="290">
        <f t="shared" si="0"/>
      </c>
      <c r="S4" s="290">
        <f t="shared" si="0"/>
      </c>
      <c r="T4" s="290">
        <f t="shared" si="0"/>
      </c>
      <c r="U4" s="284">
        <f>IF($P$2="X",P4,IF($Q$2="X",Q4,IF($R$2="X",R4,IF($S$2="X",S4,IF($T$2="X",T4,"")))))</f>
      </c>
    </row>
    <row r="5" spans="1:21" ht="12.75">
      <c r="A5" s="264">
        <v>1</v>
      </c>
      <c r="B5" s="396">
        <v>500</v>
      </c>
      <c r="C5" s="80">
        <f>IF($F$1="X",F5,IF($G$1="X",G5,IF($H$1="X",H5,IF($I$1="X",I5,IF($J$1="X",J5,"")))))</f>
        <v>118.6</v>
      </c>
      <c r="D5" s="80">
        <f>IF($F$1="X",G5,IF($G$1="X",H5,IF($H$1="X",I5,IF($I$1="X",J5,IF($J$1="X",K5,"")))))</f>
        <v>130.4</v>
      </c>
      <c r="F5" s="396">
        <v>94.6</v>
      </c>
      <c r="G5" s="396">
        <v>106.3</v>
      </c>
      <c r="H5" s="396">
        <v>118.6</v>
      </c>
      <c r="I5" s="396">
        <v>130.4</v>
      </c>
      <c r="J5" s="396">
        <v>142.7</v>
      </c>
      <c r="K5" s="396">
        <v>154.4</v>
      </c>
      <c r="L5" s="295" t="str">
        <f>IF(H1="X","X","")</f>
        <v>X</v>
      </c>
      <c r="M5" s="289" t="s">
        <v>12</v>
      </c>
      <c r="N5" s="284">
        <v>15</v>
      </c>
      <c r="O5" s="285">
        <v>19</v>
      </c>
      <c r="P5" s="290">
        <f t="shared" si="0"/>
      </c>
      <c r="Q5" s="290">
        <f t="shared" si="0"/>
      </c>
      <c r="R5" s="290">
        <f t="shared" si="0"/>
      </c>
      <c r="S5" s="290">
        <f t="shared" si="0"/>
      </c>
      <c r="T5" s="290">
        <f t="shared" si="0"/>
      </c>
      <c r="U5" s="284">
        <f>IF($P$2="X",P5,IF($Q$2="X",Q5,IF($R$2="X",R5,IF($S$2="X",S5,IF($T$2="X",T5,"")))))</f>
      </c>
    </row>
    <row r="6" spans="2:21" ht="12.75">
      <c r="B6" s="73"/>
      <c r="F6" s="74"/>
      <c r="G6" s="74"/>
      <c r="H6" s="74"/>
      <c r="I6" s="74"/>
      <c r="J6" s="74"/>
      <c r="K6" s="74"/>
      <c r="L6" s="295">
        <f>IF(I1="X","X","")</f>
      </c>
      <c r="M6" s="289" t="s">
        <v>16</v>
      </c>
      <c r="N6" s="284">
        <v>20</v>
      </c>
      <c r="O6" s="285">
        <v>24</v>
      </c>
      <c r="P6" s="290">
        <f t="shared" si="0"/>
      </c>
      <c r="Q6" s="290">
        <f t="shared" si="0"/>
      </c>
      <c r="R6" s="290">
        <f t="shared" si="0"/>
      </c>
      <c r="S6" s="290">
        <f t="shared" si="0"/>
      </c>
      <c r="T6" s="290">
        <f t="shared" si="0"/>
      </c>
      <c r="U6" s="284">
        <f>IF($P$2="X",P6,IF($Q$2="X",Q6,IF($R$2="X",R6,IF($S$2="X",S6,IF($T$2="X",T6,"")))))</f>
      </c>
    </row>
    <row r="7" spans="1:21" ht="12.75" customHeight="1">
      <c r="A7" s="264">
        <f>A5+1</f>
        <v>2</v>
      </c>
      <c r="B7" s="396">
        <v>5000</v>
      </c>
      <c r="C7" s="80">
        <f>IF($F$1="X",F7,IF($G$1="X",G7,IF($H$1="X",H7,IF($I$1="X",I7,IF($J$1="X",J7,"")))))</f>
        <v>1186</v>
      </c>
      <c r="D7" s="80">
        <f>IF($F$1="X",G7,IF($G$1="X",H7,IF($H$1="X",I7,IF($I$1="X",J7,IF($J$1="X",K7,"")))))</f>
        <v>1304</v>
      </c>
      <c r="F7" s="396">
        <v>946</v>
      </c>
      <c r="G7" s="396">
        <v>1063</v>
      </c>
      <c r="H7" s="396">
        <v>1186</v>
      </c>
      <c r="I7" s="396">
        <v>1304</v>
      </c>
      <c r="J7" s="396">
        <v>1427</v>
      </c>
      <c r="K7" s="396">
        <v>1544</v>
      </c>
      <c r="L7" s="295">
        <f>IF(J1="X","X","")</f>
      </c>
      <c r="M7" s="289" t="s">
        <v>14</v>
      </c>
      <c r="N7" s="286">
        <v>25</v>
      </c>
      <c r="O7" s="287">
        <v>30</v>
      </c>
      <c r="P7" s="290">
        <f t="shared" si="0"/>
      </c>
      <c r="Q7" s="290">
        <f t="shared" si="0"/>
      </c>
      <c r="R7" s="290">
        <f t="shared" si="0"/>
      </c>
      <c r="S7" s="290">
        <f t="shared" si="0"/>
      </c>
      <c r="T7" s="290">
        <f t="shared" si="0"/>
      </c>
      <c r="U7" s="284">
        <f>IF($P$2="X",P7,IF($Q$2="X",Q7,IF($R$2="X",R7,IF($S$2="X",S7,IF($T$2="X",T7,"")))))</f>
      </c>
    </row>
    <row r="8" spans="2:20" ht="12.75" customHeight="1">
      <c r="B8" s="73"/>
      <c r="F8" s="73"/>
      <c r="G8" s="73"/>
      <c r="H8" s="73"/>
      <c r="I8" s="73"/>
      <c r="J8" s="73"/>
      <c r="K8" s="73"/>
      <c r="P8" s="408" t="s">
        <v>9</v>
      </c>
      <c r="Q8" s="408" t="s">
        <v>11</v>
      </c>
      <c r="R8" s="408" t="s">
        <v>13</v>
      </c>
      <c r="S8" s="408" t="s">
        <v>15</v>
      </c>
      <c r="T8" s="408" t="s">
        <v>17</v>
      </c>
    </row>
    <row r="9" spans="1:20" ht="12.75">
      <c r="A9" s="264">
        <f>A7+1</f>
        <v>3</v>
      </c>
      <c r="B9" s="396">
        <v>10000</v>
      </c>
      <c r="C9" s="80">
        <f>IF($F$1="X",F9,IF($G$1="X",G9,IF($H$1="X",H9,IF($I$1="X",I9,IF($J$1="X",J9,"")))))</f>
        <v>2367</v>
      </c>
      <c r="D9" s="80">
        <f>IF($F$1="X",G9,IF($G$1="X",H9,IF($H$1="X",I9,IF($I$1="X",J9,IF($J$1="X",K9,"")))))</f>
        <v>2608</v>
      </c>
      <c r="F9" s="396">
        <v>1897</v>
      </c>
      <c r="G9" s="396">
        <v>2132</v>
      </c>
      <c r="H9" s="396">
        <v>2367</v>
      </c>
      <c r="I9" s="396">
        <v>2608</v>
      </c>
      <c r="J9" s="396">
        <v>2843</v>
      </c>
      <c r="K9" s="396">
        <v>3078</v>
      </c>
      <c r="P9" s="408"/>
      <c r="Q9" s="408"/>
      <c r="R9" s="408"/>
      <c r="S9" s="408"/>
      <c r="T9" s="408"/>
    </row>
    <row r="10" spans="2:20" ht="12.75">
      <c r="B10" s="73"/>
      <c r="F10" s="73"/>
      <c r="G10" s="73"/>
      <c r="H10" s="73"/>
      <c r="I10" s="73"/>
      <c r="J10" s="73"/>
      <c r="K10" s="73"/>
      <c r="P10" s="408"/>
      <c r="Q10" s="408"/>
      <c r="R10" s="408"/>
      <c r="S10" s="408"/>
      <c r="T10" s="408"/>
    </row>
    <row r="11" spans="1:20" ht="12.75" customHeight="1">
      <c r="A11" s="264">
        <f>A9+1</f>
        <v>4</v>
      </c>
      <c r="B11" s="396">
        <v>20000</v>
      </c>
      <c r="C11" s="80">
        <f>IF($F$1="X",F11,IF($G$1="X",G11,IF($H$1="X",H11,IF($I$1="X",I11,IF($J$1="X",J11,"")))))</f>
        <v>3789</v>
      </c>
      <c r="D11" s="80">
        <f>IF($F$1="X",G11,IF($G$1="X",H11,IF($H$1="X",I11,IF($I$1="X",J11,IF($J$1="X",K11,"")))))</f>
        <v>4172</v>
      </c>
      <c r="F11" s="396">
        <v>3032</v>
      </c>
      <c r="G11" s="396">
        <v>3410</v>
      </c>
      <c r="H11" s="396">
        <v>3789</v>
      </c>
      <c r="I11" s="396">
        <v>4172</v>
      </c>
      <c r="J11" s="396">
        <v>4550</v>
      </c>
      <c r="K11" s="396">
        <v>4929</v>
      </c>
      <c r="P11" s="408"/>
      <c r="Q11" s="408"/>
      <c r="R11" s="408"/>
      <c r="S11" s="408"/>
      <c r="T11" s="408"/>
    </row>
    <row r="12" spans="2:20" ht="12.75">
      <c r="B12" s="73"/>
      <c r="F12" s="73"/>
      <c r="G12" s="73"/>
      <c r="H12" s="73"/>
      <c r="I12" s="73"/>
      <c r="J12" s="73"/>
      <c r="K12" s="73"/>
      <c r="P12" s="409"/>
      <c r="Q12" s="409"/>
      <c r="R12" s="409"/>
      <c r="S12" s="409"/>
      <c r="T12" s="409"/>
    </row>
    <row r="13" spans="1:11" ht="12.75">
      <c r="A13" s="264">
        <f>A11+1</f>
        <v>5</v>
      </c>
      <c r="B13" s="396">
        <v>40000</v>
      </c>
      <c r="C13" s="80">
        <f>IF($F$1="X",F13,IF($G$1="X",G13,IF($H$1="X",H13,IF($I$1="X",I13,IF($J$1="X",J13,"")))))</f>
        <v>6637</v>
      </c>
      <c r="D13" s="80">
        <f>IF($F$1="X",G13,IF($G$1="X",H13,IF($H$1="X",I13,IF($I$1="X",J13,IF($J$1="X",K13,"")))))</f>
        <v>7296</v>
      </c>
      <c r="F13" s="396">
        <v>5307</v>
      </c>
      <c r="G13" s="396">
        <v>5972</v>
      </c>
      <c r="H13" s="396">
        <v>6637</v>
      </c>
      <c r="I13" s="396">
        <v>7296</v>
      </c>
      <c r="J13" s="396">
        <v>7961</v>
      </c>
      <c r="K13" s="396">
        <v>8625</v>
      </c>
    </row>
    <row r="14" spans="2:20" ht="12.75">
      <c r="B14" s="73"/>
      <c r="F14" s="73"/>
      <c r="G14" s="73"/>
      <c r="H14" s="73"/>
      <c r="I14" s="73"/>
      <c r="J14" s="73"/>
      <c r="K14" s="73"/>
      <c r="N14" s="275">
        <f aca="true" t="shared" si="1" ref="N14:T14">IF($L3="X",N3,IF($L4="X",N4,IF($L5="X",N5,IF($L6="X",N6,IF($L7="X",N7,"")))))</f>
        <v>15</v>
      </c>
      <c r="O14" s="275">
        <f t="shared" si="1"/>
        <v>19</v>
      </c>
      <c r="P14" s="1">
        <f t="shared" si="1"/>
      </c>
      <c r="Q14" s="1">
        <f t="shared" si="1"/>
      </c>
      <c r="R14" s="1">
        <f t="shared" si="1"/>
      </c>
      <c r="S14" s="1">
        <f t="shared" si="1"/>
      </c>
      <c r="T14" s="1">
        <f t="shared" si="1"/>
      </c>
    </row>
    <row r="15" spans="1:11" ht="12.75">
      <c r="A15" s="264">
        <f>A13+1</f>
        <v>6</v>
      </c>
      <c r="B15" s="396">
        <v>60000</v>
      </c>
      <c r="C15" s="80">
        <f>IF($F$1="X",F15,IF($G$1="X",G15,IF($H$1="X",H15,IF($I$1="X",I15,IF($J$1="X",J15,"")))))</f>
        <v>9004</v>
      </c>
      <c r="D15" s="80">
        <f>IF($F$1="X",G15,IF($G$1="X",H15,IF($H$1="X",I15,IF($I$1="X",J15,IF($J$1="X",K15,"")))))</f>
        <v>9899</v>
      </c>
      <c r="F15" s="396">
        <v>7204</v>
      </c>
      <c r="G15" s="396">
        <v>8104</v>
      </c>
      <c r="H15" s="396">
        <v>9004</v>
      </c>
      <c r="I15" s="396">
        <v>9899</v>
      </c>
      <c r="J15" s="396">
        <v>10798</v>
      </c>
      <c r="K15" s="396">
        <v>11698</v>
      </c>
    </row>
    <row r="16" spans="2:11" ht="12.75">
      <c r="B16" s="73"/>
      <c r="F16" s="73"/>
      <c r="G16" s="73"/>
      <c r="H16" s="73"/>
      <c r="I16" s="73"/>
      <c r="J16" s="73"/>
      <c r="K16" s="73"/>
    </row>
    <row r="17" spans="1:24" ht="12.75">
      <c r="A17" s="264">
        <f>A15+1</f>
        <v>7</v>
      </c>
      <c r="B17" s="396">
        <v>80000</v>
      </c>
      <c r="C17" s="80">
        <f>IF($F$1="X",F17,IF($G$1="X",G17,IF($H$1="X",H17,IF($I$1="X",I17,IF($J$1="X",J17,"")))))</f>
        <v>11121</v>
      </c>
      <c r="D17" s="80">
        <f>IF($F$1="X",G17,IF($G$1="X",H17,IF($H$1="X",I17,IF($I$1="X",J17,IF($J$1="X",K17,"")))))</f>
        <v>12235</v>
      </c>
      <c r="F17" s="396">
        <v>8896</v>
      </c>
      <c r="G17" s="396">
        <v>10011</v>
      </c>
      <c r="H17" s="396">
        <v>11121</v>
      </c>
      <c r="I17" s="396">
        <v>12235</v>
      </c>
      <c r="J17" s="396">
        <v>13345</v>
      </c>
      <c r="K17" s="396">
        <v>14459</v>
      </c>
      <c r="W17" s="295">
        <f>IF(A1="X","X","")</f>
      </c>
      <c r="X17" s="295">
        <f>IF(A2="X","X","")</f>
      </c>
    </row>
    <row r="18" spans="2:22" ht="12.75">
      <c r="B18" s="73"/>
      <c r="F18" s="73"/>
      <c r="G18" s="73"/>
      <c r="H18" s="73"/>
      <c r="I18" s="73"/>
      <c r="J18" s="73"/>
      <c r="K18" s="73"/>
      <c r="V18" s="306"/>
    </row>
    <row r="19" spans="1:22" ht="12.75">
      <c r="A19" s="264">
        <f>A17+1</f>
        <v>8</v>
      </c>
      <c r="B19" s="396">
        <v>100000</v>
      </c>
      <c r="C19" s="80">
        <f>IF($F$1="X",F19,IF($G$1="X",G19,IF($H$1="X",H19,IF($I$1="X",I19,IF($J$1="X",J19,"")))))</f>
        <v>12946</v>
      </c>
      <c r="D19" s="80">
        <f>IF($F$1="X",G19,IF($G$1="X",H19,IF($H$1="X",I19,IF($I$1="X",J19,IF($J$1="X",K19,"")))))</f>
        <v>14239</v>
      </c>
      <c r="F19" s="396">
        <v>10354</v>
      </c>
      <c r="G19" s="396">
        <v>11647</v>
      </c>
      <c r="H19" s="396">
        <v>12946</v>
      </c>
      <c r="I19" s="396">
        <v>14239</v>
      </c>
      <c r="J19" s="396">
        <v>15538</v>
      </c>
      <c r="K19" s="396">
        <v>16832</v>
      </c>
      <c r="L19" t="s">
        <v>122</v>
      </c>
      <c r="S19" t="s">
        <v>161</v>
      </c>
      <c r="V19" s="292" t="s">
        <v>164</v>
      </c>
    </row>
    <row r="20" spans="2:23" ht="12.75">
      <c r="B20" s="73"/>
      <c r="F20" s="73"/>
      <c r="G20" s="73"/>
      <c r="H20" s="73"/>
      <c r="I20" s="73"/>
      <c r="J20" s="73"/>
      <c r="K20" s="73"/>
      <c r="L20" s="264">
        <v>1</v>
      </c>
      <c r="M20" t="s">
        <v>215</v>
      </c>
      <c r="V20" s="291">
        <v>0.01</v>
      </c>
      <c r="W20" s="308">
        <v>0.03</v>
      </c>
    </row>
    <row r="21" spans="1:23" ht="12.75">
      <c r="A21" s="264">
        <f>A19+1</f>
        <v>9</v>
      </c>
      <c r="B21" s="396">
        <v>150000</v>
      </c>
      <c r="C21" s="80">
        <f>IF($F$1="X",F21,IF($G$1="X",G21,IF($H$1="X",H21,IF($I$1="X",I21,IF($J$1="X",J21,"")))))</f>
        <v>17052</v>
      </c>
      <c r="D21" s="80">
        <f>IF($F$1="X",G21,IF($G$1="X",H21,IF($H$1="X",I21,IF($I$1="X",J21,IF($J$1="X",K21,"")))))</f>
        <v>18759</v>
      </c>
      <c r="F21" s="396">
        <v>13641</v>
      </c>
      <c r="G21" s="396">
        <v>15349</v>
      </c>
      <c r="H21" s="396">
        <v>17052</v>
      </c>
      <c r="I21" s="396">
        <v>18759</v>
      </c>
      <c r="J21" s="396">
        <v>20462</v>
      </c>
      <c r="K21" s="396">
        <v>22170</v>
      </c>
      <c r="L21" s="264">
        <v>2</v>
      </c>
      <c r="M21" t="s">
        <v>216</v>
      </c>
      <c r="V21" s="291">
        <v>0.1</v>
      </c>
      <c r="W21" s="308">
        <v>0.2</v>
      </c>
    </row>
    <row r="22" spans="2:22" ht="12.75">
      <c r="B22" s="73"/>
      <c r="F22" s="73"/>
      <c r="G22" s="73"/>
      <c r="H22" s="73"/>
      <c r="I22" s="73"/>
      <c r="J22" s="73"/>
      <c r="K22" s="73"/>
      <c r="L22" s="264">
        <v>3</v>
      </c>
      <c r="M22" t="s">
        <v>158</v>
      </c>
      <c r="V22" s="291">
        <v>0.4</v>
      </c>
    </row>
    <row r="23" spans="1:22" ht="12.75">
      <c r="A23" s="264">
        <f>A21+1</f>
        <v>10</v>
      </c>
      <c r="B23" s="396">
        <v>200000</v>
      </c>
      <c r="C23" s="80">
        <f>IF($F$1="X",F23,IF($G$1="X",G23,IF($H$1="X",H23,IF($I$1="X",I23,IF($J$1="X",J23,"")))))</f>
        <v>20528</v>
      </c>
      <c r="D23" s="80">
        <f>IF($F$1="X",G23,IF($G$1="X",H23,IF($H$1="X",I23,IF($I$1="X",J23,IF($J$1="X",K23,"")))))</f>
        <v>22584</v>
      </c>
      <c r="F23" s="396">
        <v>16423</v>
      </c>
      <c r="G23" s="396">
        <v>18478</v>
      </c>
      <c r="H23" s="396">
        <v>20528</v>
      </c>
      <c r="I23" s="396">
        <v>22584</v>
      </c>
      <c r="J23" s="396">
        <v>24634</v>
      </c>
      <c r="K23" s="396">
        <v>26689</v>
      </c>
      <c r="L23" s="264">
        <v>4</v>
      </c>
      <c r="M23" t="s">
        <v>159</v>
      </c>
      <c r="V23" s="291">
        <v>0.3</v>
      </c>
    </row>
    <row r="24" spans="2:22" ht="12.75">
      <c r="B24" s="73"/>
      <c r="F24" s="73"/>
      <c r="G24" s="73"/>
      <c r="H24" s="73"/>
      <c r="I24" s="73"/>
      <c r="J24" s="73"/>
      <c r="K24" s="73"/>
      <c r="L24" s="264">
        <v>5</v>
      </c>
      <c r="M24" t="s">
        <v>160</v>
      </c>
      <c r="V24" s="291">
        <v>0.07</v>
      </c>
    </row>
    <row r="25" spans="1:22" ht="12.75">
      <c r="A25" s="264">
        <f>A23+1</f>
        <v>11</v>
      </c>
      <c r="B25" s="396">
        <v>250000</v>
      </c>
      <c r="C25" s="80">
        <f>IF($F$1="X",F25,IF($G$1="X",G25,IF($H$1="X",H25,IF($I$1="X",I25,IF($J$1="X",J25,"")))))</f>
        <v>23688</v>
      </c>
      <c r="D25" s="80">
        <f>IF($F$1="X",G25,IF($G$1="X",H25,IF($H$1="X",I25,IF($I$1="X",J25,IF($J$1="X",K25,"")))))</f>
        <v>26055</v>
      </c>
      <c r="F25" s="396">
        <v>18948</v>
      </c>
      <c r="G25" s="396">
        <v>21316</v>
      </c>
      <c r="H25" s="396">
        <v>23688</v>
      </c>
      <c r="I25" s="396">
        <v>26055</v>
      </c>
      <c r="J25" s="396">
        <v>28428</v>
      </c>
      <c r="K25" s="396">
        <v>30795</v>
      </c>
      <c r="L25" s="264"/>
      <c r="V25" s="307"/>
    </row>
    <row r="26" spans="2:22" ht="12.75">
      <c r="B26" s="73"/>
      <c r="F26" s="73"/>
      <c r="G26" s="73"/>
      <c r="H26" s="73"/>
      <c r="I26" s="73"/>
      <c r="J26" s="73"/>
      <c r="K26" s="73"/>
      <c r="L26" s="264"/>
      <c r="V26" s="307"/>
    </row>
    <row r="27" spans="1:22" ht="12.75">
      <c r="A27" s="264">
        <f>A25+1</f>
        <v>12</v>
      </c>
      <c r="B27" s="396">
        <v>300000</v>
      </c>
      <c r="C27" s="80">
        <f>IF($F$1="X",F27,IF($G$1="X",G27,IF($H$1="X",H27,IF($I$1="X",I27,IF($J$1="X",J27,"")))))</f>
        <v>27001</v>
      </c>
      <c r="D27" s="80">
        <f>IF($F$1="X",G27,IF($G$1="X",H27,IF($H$1="X",I27,IF($I$1="X",J27,IF($J$1="X",K27,"")))))</f>
        <v>29701</v>
      </c>
      <c r="F27" s="396">
        <v>21602</v>
      </c>
      <c r="G27" s="396">
        <v>24302</v>
      </c>
      <c r="H27" s="396">
        <v>27001</v>
      </c>
      <c r="I27" s="396">
        <v>29701</v>
      </c>
      <c r="J27" s="396">
        <v>32401</v>
      </c>
      <c r="K27" s="396">
        <v>35100</v>
      </c>
      <c r="L27" s="264"/>
      <c r="V27" s="307"/>
    </row>
    <row r="28" spans="2:22" ht="12.75">
      <c r="B28" s="73"/>
      <c r="F28" s="73"/>
      <c r="G28" s="73"/>
      <c r="H28" s="73"/>
      <c r="I28" s="73"/>
      <c r="J28" s="73"/>
      <c r="K28" s="73"/>
      <c r="L28" s="264"/>
      <c r="V28" s="307"/>
    </row>
    <row r="29" spans="1:22" ht="12.75">
      <c r="A29" s="264">
        <f>A27+1</f>
        <v>13</v>
      </c>
      <c r="B29" s="396">
        <v>350000</v>
      </c>
      <c r="C29" s="80">
        <f>IF($F$1="X",F29,IF($G$1="X",G29,IF($H$1="X",H29,IF($I$1="X",I29,IF($J$1="X",J29,"")))))</f>
        <v>30396</v>
      </c>
      <c r="D29" s="80">
        <f>IF($F$1="X",G29,IF($G$1="X",H29,IF($H$1="X",I29,IF($I$1="X",J29,IF($J$1="X",K29,"")))))</f>
        <v>33438</v>
      </c>
      <c r="F29" s="396">
        <v>24317</v>
      </c>
      <c r="G29" s="396">
        <v>27359</v>
      </c>
      <c r="H29" s="396">
        <v>30396</v>
      </c>
      <c r="I29" s="396">
        <v>33438</v>
      </c>
      <c r="J29" s="396">
        <v>36476</v>
      </c>
      <c r="K29" s="396">
        <v>39518</v>
      </c>
      <c r="V29" s="305"/>
    </row>
    <row r="30" spans="2:11" ht="12.75">
      <c r="B30" s="73"/>
      <c r="F30" s="73"/>
      <c r="G30" s="73"/>
      <c r="H30" s="73"/>
      <c r="I30" s="73"/>
      <c r="J30" s="73"/>
      <c r="K30" s="73"/>
    </row>
    <row r="31" spans="1:11" ht="12.75">
      <c r="A31" s="264">
        <f>A29+1</f>
        <v>14</v>
      </c>
      <c r="B31" s="396">
        <v>400000</v>
      </c>
      <c r="C31" s="80">
        <f>IF($F$1="X",F31,IF($G$1="X",G31,IF($H$1="X",H31,IF($I$1="X",I31,IF($J$1="X",J31,"")))))</f>
        <v>32840</v>
      </c>
      <c r="D31" s="80">
        <f>IF($F$1="X",G31,IF($G$1="X",H31,IF($H$1="X",I31,IF($I$1="X",J31,IF($J$1="X",K31,"")))))</f>
        <v>36128</v>
      </c>
      <c r="F31" s="396">
        <v>26275</v>
      </c>
      <c r="G31" s="396">
        <v>29558</v>
      </c>
      <c r="H31" s="396">
        <v>32840</v>
      </c>
      <c r="I31" s="396">
        <v>36128</v>
      </c>
      <c r="J31" s="396">
        <v>39410</v>
      </c>
      <c r="K31" s="396">
        <v>42693</v>
      </c>
    </row>
    <row r="32" spans="2:11" ht="12.75">
      <c r="B32" s="73"/>
      <c r="F32" s="73"/>
      <c r="G32" s="73"/>
      <c r="H32" s="73"/>
      <c r="I32" s="73"/>
      <c r="J32" s="73"/>
      <c r="K32" s="73"/>
    </row>
    <row r="33" spans="1:11" ht="12.75">
      <c r="A33" s="264">
        <f>A31+1</f>
        <v>15</v>
      </c>
      <c r="B33" s="396">
        <v>450000</v>
      </c>
      <c r="C33" s="80">
        <f>IF($F$1="X",F33,IF($G$1="X",G33,IF($H$1="X",H33,IF($I$1="X",I33,IF($J$1="X",J33,"")))))</f>
        <v>34814</v>
      </c>
      <c r="D33" s="80">
        <f>IF($F$1="X",G33,IF($G$1="X",H33,IF($H$1="X",I33,IF($I$1="X",J33,IF($J$1="X",K33,"")))))</f>
        <v>38301</v>
      </c>
      <c r="F33" s="396">
        <v>27850</v>
      </c>
      <c r="G33" s="396">
        <v>31332</v>
      </c>
      <c r="H33" s="396">
        <v>34814</v>
      </c>
      <c r="I33" s="396">
        <v>38301</v>
      </c>
      <c r="J33" s="396">
        <v>41783</v>
      </c>
      <c r="K33" s="396">
        <v>45265</v>
      </c>
    </row>
    <row r="34" spans="2:11" ht="12.75">
      <c r="B34" s="73"/>
      <c r="F34" s="73"/>
      <c r="G34" s="73"/>
      <c r="H34" s="73"/>
      <c r="I34" s="73"/>
      <c r="J34" s="73"/>
      <c r="K34" s="73"/>
    </row>
    <row r="35" spans="1:11" ht="12.75">
      <c r="A35" s="264">
        <f>A33+1</f>
        <v>16</v>
      </c>
      <c r="B35" s="396">
        <v>500000</v>
      </c>
      <c r="C35" s="80">
        <f>IF($F$1="X",F35,IF($G$1="X",G35,IF($H$1="X",H35,IF($I$1="X",I35,IF($J$1="X",J35,"")))))</f>
        <v>37104</v>
      </c>
      <c r="D35" s="80">
        <f>IF($F$1="X",G35,IF($G$1="X",H35,IF($H$1="X",I35,IF($I$1="X",J35,IF($J$1="X",K35,"")))))</f>
        <v>40811</v>
      </c>
      <c r="F35" s="396">
        <v>29680</v>
      </c>
      <c r="G35" s="396">
        <v>33392</v>
      </c>
      <c r="H35" s="396">
        <v>37104</v>
      </c>
      <c r="I35" s="396">
        <v>40811</v>
      </c>
      <c r="J35" s="396">
        <v>44523</v>
      </c>
      <c r="K35" s="396">
        <v>48235</v>
      </c>
    </row>
    <row r="36" spans="2:11" ht="12.75">
      <c r="B36" s="73"/>
      <c r="F36" s="73"/>
      <c r="G36" s="73"/>
      <c r="H36" s="73"/>
      <c r="I36" s="73"/>
      <c r="J36" s="73"/>
      <c r="K36" s="73"/>
    </row>
    <row r="37" spans="1:11" ht="12.75">
      <c r="A37" s="264">
        <f>A35+1</f>
        <v>17</v>
      </c>
      <c r="B37" s="396">
        <v>600000</v>
      </c>
      <c r="C37" s="80">
        <f>IF($F$1="X",F37,IF($G$1="X",G37,IF($H$1="X",H37,IF($I$1="X",I37,IF($J$1="X",J37,"")))))</f>
        <v>40740</v>
      </c>
      <c r="D37" s="80">
        <f>IF($F$1="X",G37,IF($G$1="X",H37,IF($H$1="X",I37,IF($I$1="X",J37,IF($J$1="X",K37,"")))))</f>
        <v>44810</v>
      </c>
      <c r="F37" s="396">
        <v>32590</v>
      </c>
      <c r="G37" s="396">
        <v>36665</v>
      </c>
      <c r="H37" s="396">
        <v>40740</v>
      </c>
      <c r="I37" s="396">
        <v>44810</v>
      </c>
      <c r="J37" s="396">
        <v>48885</v>
      </c>
      <c r="K37" s="396">
        <v>52960</v>
      </c>
    </row>
    <row r="38" spans="2:11" ht="12.75">
      <c r="B38" s="73"/>
      <c r="F38" s="73"/>
      <c r="G38" s="73"/>
      <c r="H38" s="73"/>
      <c r="I38" s="73"/>
      <c r="J38" s="73"/>
      <c r="K38" s="73"/>
    </row>
    <row r="39" spans="1:11" ht="12.75">
      <c r="A39" s="264">
        <f>A37+1</f>
        <v>18</v>
      </c>
      <c r="B39" s="396">
        <v>700000</v>
      </c>
      <c r="C39" s="80">
        <f>IF($F$1="X",F39,IF($G$1="X",G39,IF($H$1="X",H39,IF($I$1="X",I39,IF($J$1="X",J39,"")))))</f>
        <v>43107</v>
      </c>
      <c r="D39" s="80">
        <f>IF($F$1="X",G39,IF($G$1="X",H39,IF($H$1="X",I39,IF($I$1="X",J39,IF($J$1="X",K39,"")))))</f>
        <v>47422</v>
      </c>
      <c r="F39" s="396">
        <v>34487</v>
      </c>
      <c r="G39" s="396">
        <v>38797</v>
      </c>
      <c r="H39" s="396">
        <v>43107</v>
      </c>
      <c r="I39" s="396">
        <v>47422</v>
      </c>
      <c r="J39" s="396">
        <v>51733</v>
      </c>
      <c r="K39" s="396">
        <v>56043</v>
      </c>
    </row>
    <row r="40" spans="2:11" ht="12.75">
      <c r="B40" s="73"/>
      <c r="F40" s="73"/>
      <c r="G40" s="73"/>
      <c r="H40" s="73"/>
      <c r="I40" s="73"/>
      <c r="J40" s="73"/>
      <c r="K40" s="73"/>
    </row>
    <row r="41" spans="1:11" ht="12.75">
      <c r="A41" s="264">
        <f>A39+1</f>
        <v>19</v>
      </c>
      <c r="B41" s="396">
        <v>800000</v>
      </c>
      <c r="C41" s="80">
        <f>IF($F$1="X",F41,IF($G$1="X",G41,IF($H$1="X",H41,IF($I$1="X",I41,IF($J$1="X",J41,"")))))</f>
        <v>45474</v>
      </c>
      <c r="D41" s="80">
        <f>IF($F$1="X",G41,IF($G$1="X",H41,IF($H$1="X",I41,IF($I$1="X",J41,IF($J$1="X",K41,"")))))</f>
        <v>50025</v>
      </c>
      <c r="F41" s="396">
        <v>36384</v>
      </c>
      <c r="G41" s="396">
        <v>40929</v>
      </c>
      <c r="H41" s="396">
        <v>45474</v>
      </c>
      <c r="I41" s="396">
        <v>50025</v>
      </c>
      <c r="J41" s="396">
        <v>54570</v>
      </c>
      <c r="K41" s="396">
        <v>59116</v>
      </c>
    </row>
    <row r="42" ht="12.75">
      <c r="B42" s="73"/>
    </row>
    <row r="43" spans="1:11" ht="12.75">
      <c r="A43" s="264">
        <f>A41+1</f>
        <v>20</v>
      </c>
      <c r="B43" s="396">
        <v>900000</v>
      </c>
      <c r="C43" s="80">
        <f>IF($F$1="X",F43,IF($G$1="X",G43,IF($H$1="X",H43,IF($I$1="X",I43,IF($J$1="X",J43,"")))))</f>
        <v>46896</v>
      </c>
      <c r="D43" s="80">
        <f>IF($F$1="X",G43,IF($G$1="X",H43,IF($H$1="X",I43,IF($I$1="X",J43,IF($J$1="X",K43,"")))))</f>
        <v>51584</v>
      </c>
      <c r="F43" s="396">
        <v>37513</v>
      </c>
      <c r="G43" s="396">
        <v>42202</v>
      </c>
      <c r="H43" s="396">
        <v>46896</v>
      </c>
      <c r="I43" s="396">
        <v>51584</v>
      </c>
      <c r="J43" s="396">
        <v>56278</v>
      </c>
      <c r="K43" s="396">
        <v>60966</v>
      </c>
    </row>
    <row r="44" ht="12.75">
      <c r="B44" s="73"/>
    </row>
    <row r="45" spans="1:11" ht="12.75">
      <c r="A45" s="264">
        <f>A43+1</f>
        <v>21</v>
      </c>
      <c r="B45" s="396">
        <v>1000000</v>
      </c>
      <c r="C45" s="80">
        <f>IF($F$1="X",F45,IF($G$1="X",G45,IF($H$1="X",H45,IF($I$1="X",I45,IF($J$1="X",J45,"")))))</f>
        <v>48951</v>
      </c>
      <c r="D45" s="80">
        <f>IF($F$1="X",G45,IF($G$1="X",H45,IF($H$1="X",I45,IF($I$1="X",J45,IF($J$1="X",K45,"")))))</f>
        <v>53844</v>
      </c>
      <c r="F45" s="396">
        <v>39160</v>
      </c>
      <c r="G45" s="396">
        <v>44053</v>
      </c>
      <c r="H45" s="396">
        <v>48951</v>
      </c>
      <c r="I45" s="396">
        <v>53844</v>
      </c>
      <c r="J45" s="396">
        <v>58742</v>
      </c>
      <c r="K45" s="396">
        <v>63635</v>
      </c>
    </row>
    <row r="46" ht="12.75">
      <c r="B46" s="73"/>
    </row>
    <row r="47" spans="1:11" ht="12.75">
      <c r="A47" s="264">
        <f>A45+1</f>
        <v>22</v>
      </c>
      <c r="B47" s="396">
        <v>1500000</v>
      </c>
      <c r="C47" s="80">
        <f>IF($F$1="X",F47,IF($G$1="X",G47,IF($H$1="X",H47,IF($I$1="X",I47,IF($J$1="X",J47,"")))))</f>
        <v>54473</v>
      </c>
      <c r="D47" s="80">
        <f>IF($F$1="X",G47,IF($G$1="X",H47,IF($H$1="X",I47,IF($I$1="X",J47,IF($J$1="X",K47,"")))))</f>
        <v>59918</v>
      </c>
      <c r="F47" s="396">
        <v>43577</v>
      </c>
      <c r="G47" s="396">
        <v>49023</v>
      </c>
      <c r="H47" s="396">
        <v>54473</v>
      </c>
      <c r="I47" s="396">
        <v>59918</v>
      </c>
      <c r="J47" s="396">
        <v>65369</v>
      </c>
      <c r="K47" s="396">
        <v>70814</v>
      </c>
    </row>
    <row r="48" ht="12.75">
      <c r="B48" s="73"/>
    </row>
    <row r="49" spans="1:11" ht="12.75">
      <c r="A49" s="264">
        <f>A47+1</f>
        <v>23</v>
      </c>
      <c r="B49" s="396">
        <v>2000000</v>
      </c>
      <c r="C49" s="80">
        <f>IF($F$1="X",F49,IF($G$1="X",G49,IF($H$1="X",H49,IF($I$1="X",I49,IF($J$1="X",J49,"")))))</f>
        <v>56845</v>
      </c>
      <c r="D49" s="80">
        <f>IF($F$1="X",G49,IF($G$1="X",H49,IF($H$1="X",I49,IF($I$1="X",J49,IF($J$1="X",K49,"")))))</f>
        <v>62526</v>
      </c>
      <c r="F49" s="396">
        <v>45474</v>
      </c>
      <c r="G49" s="396">
        <v>51160</v>
      </c>
      <c r="H49" s="396">
        <v>56845</v>
      </c>
      <c r="I49" s="396">
        <v>62526</v>
      </c>
      <c r="J49" s="396">
        <v>68211</v>
      </c>
      <c r="K49" s="396">
        <v>73897</v>
      </c>
    </row>
    <row r="50" ht="12.75">
      <c r="B50" s="73"/>
    </row>
    <row r="51" spans="1:11" ht="12.75">
      <c r="A51" s="264">
        <f>A49+1</f>
        <v>24</v>
      </c>
      <c r="B51" s="396">
        <v>3000000</v>
      </c>
      <c r="C51" s="80">
        <f>IF($F$1="X",F51,IF($G$1="X",G51,IF($H$1="X",H51,IF($I$1="X",I51,IF($J$1="X",J51,"")))))</f>
        <v>61580</v>
      </c>
      <c r="D51" s="80">
        <f>IF($F$1="X",G51,IF($G$1="X",H51,IF($H$1="X",I51,IF($I$1="X",J51,IF($J$1="X",K51,"")))))</f>
        <v>67736</v>
      </c>
      <c r="F51" s="396">
        <v>49263</v>
      </c>
      <c r="G51" s="396">
        <v>55419</v>
      </c>
      <c r="H51" s="396">
        <v>61580</v>
      </c>
      <c r="I51" s="396">
        <v>67736</v>
      </c>
      <c r="J51" s="396">
        <v>73897</v>
      </c>
      <c r="K51" s="396">
        <v>80053</v>
      </c>
    </row>
    <row r="52" ht="12.75">
      <c r="B52" s="73"/>
    </row>
    <row r="53" ht="12.75">
      <c r="B53" s="73"/>
    </row>
    <row r="54" ht="12.75">
      <c r="B54" s="73"/>
    </row>
    <row r="55" ht="12.75">
      <c r="B55" s="73"/>
    </row>
    <row r="56" ht="12.75">
      <c r="B56" s="73"/>
    </row>
    <row r="57" ht="12.75">
      <c r="B57" s="73"/>
    </row>
    <row r="58" ht="12.75">
      <c r="B58" s="73"/>
    </row>
    <row r="59" ht="12.75">
      <c r="B59" s="73"/>
    </row>
    <row r="60" ht="12.75">
      <c r="B60" s="73"/>
    </row>
    <row r="61" ht="12.75">
      <c r="B61" s="73"/>
    </row>
    <row r="62" ht="12.75">
      <c r="B62" s="73"/>
    </row>
    <row r="63" ht="12.75">
      <c r="B63" s="73"/>
    </row>
    <row r="64" ht="12.75">
      <c r="B64" s="73"/>
    </row>
    <row r="65" ht="12.75">
      <c r="B65" s="73"/>
    </row>
  </sheetData>
  <sheetProtection password="CBBE" sheet="1" objects="1" scenarios="1"/>
  <mergeCells count="5">
    <mergeCell ref="P8:P12"/>
    <mergeCell ref="T8:T12"/>
    <mergeCell ref="Q8:Q12"/>
    <mergeCell ref="R8:R12"/>
    <mergeCell ref="S8:S1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">
      <selection activeCell="C3" sqref="C3"/>
    </sheetView>
  </sheetViews>
  <sheetFormatPr defaultColWidth="11.421875" defaultRowHeight="12.75"/>
  <cols>
    <col min="1" max="1" width="3.00390625" style="0" customWidth="1"/>
    <col min="3" max="3" width="11.421875" style="310" customWidth="1"/>
    <col min="4" max="4" width="11.421875" style="272" customWidth="1"/>
    <col min="5" max="5" width="3.28125" style="0" customWidth="1"/>
    <col min="6" max="6" width="11.421875" style="272" customWidth="1"/>
    <col min="7" max="7" width="11.421875" style="310" customWidth="1"/>
    <col min="8" max="11" width="11.421875" style="272" customWidth="1"/>
    <col min="12" max="12" width="3.00390625" style="0" customWidth="1"/>
    <col min="13" max="13" width="15.00390625" style="0" bestFit="1" customWidth="1"/>
    <col min="14" max="14" width="3.7109375" style="0" bestFit="1" customWidth="1"/>
    <col min="15" max="15" width="3.421875" style="0" bestFit="1" customWidth="1"/>
    <col min="16" max="16" width="3.7109375" style="0" bestFit="1" customWidth="1"/>
    <col min="17" max="18" width="3.7109375" style="0" customWidth="1"/>
    <col min="19" max="19" width="4.7109375" style="0" customWidth="1"/>
    <col min="20" max="20" width="3.7109375" style="0" customWidth="1"/>
    <col min="21" max="21" width="2.28125" style="0" customWidth="1"/>
    <col min="22" max="22" width="6.421875" style="304" bestFit="1" customWidth="1"/>
    <col min="23" max="23" width="5.00390625" style="0" customWidth="1"/>
  </cols>
  <sheetData>
    <row r="1" spans="1:20" ht="12.75">
      <c r="A1" s="273" t="str">
        <f>IF(STAMMDATEN!A27="X","X","")</f>
        <v>X</v>
      </c>
      <c r="B1" s="301" t="s">
        <v>157</v>
      </c>
      <c r="C1" s="309"/>
      <c r="D1" s="302" t="s">
        <v>163</v>
      </c>
      <c r="E1" s="303">
        <v>41</v>
      </c>
      <c r="F1" s="299">
        <f>IF(STAMMDATEN!A15="X","X","")</f>
      </c>
      <c r="G1" s="404">
        <f>IF(STAMMDATEN!A16="X","X","")</f>
      </c>
      <c r="H1" s="299" t="str">
        <f>IF(STAMMDATEN!A17="X","X","")</f>
        <v>X</v>
      </c>
      <c r="I1" s="299">
        <f>IF(STAMMDATEN!A18="X","X","")</f>
      </c>
      <c r="J1" s="299">
        <f>IF(STAMMDATEN!A19="X","X","")</f>
      </c>
      <c r="K1" s="271"/>
      <c r="L1" s="298"/>
      <c r="M1" s="360" t="s">
        <v>198</v>
      </c>
      <c r="N1" s="300"/>
      <c r="O1" s="300"/>
      <c r="P1" s="293">
        <v>0</v>
      </c>
      <c r="Q1" s="293">
        <v>1</v>
      </c>
      <c r="R1" s="293">
        <v>2</v>
      </c>
      <c r="S1" s="293">
        <v>3</v>
      </c>
      <c r="T1" s="293">
        <v>4</v>
      </c>
    </row>
    <row r="2" spans="2:20" ht="12.75">
      <c r="B2" s="403" t="s">
        <v>221</v>
      </c>
      <c r="C2" s="312"/>
      <c r="D2" s="271"/>
      <c r="F2" s="265" t="s">
        <v>151</v>
      </c>
      <c r="G2" s="311" t="s">
        <v>152</v>
      </c>
      <c r="H2" s="267" t="s">
        <v>153</v>
      </c>
      <c r="I2" s="268" t="s">
        <v>154</v>
      </c>
      <c r="J2" s="269" t="s">
        <v>155</v>
      </c>
      <c r="K2" s="270"/>
      <c r="L2" s="298"/>
      <c r="M2" s="279" t="s">
        <v>71</v>
      </c>
      <c r="N2" s="280" t="s">
        <v>62</v>
      </c>
      <c r="O2" s="281" t="s">
        <v>63</v>
      </c>
      <c r="P2" s="295">
        <f>IF(STAMMDATEN!$C$15="X","X","")</f>
      </c>
      <c r="Q2" s="295">
        <f>IF(STAMMDATEN!$C$16="X","X","")</f>
      </c>
      <c r="R2" s="295" t="str">
        <f>IF(STAMMDATEN!$C$17="X","X","")</f>
        <v>X</v>
      </c>
      <c r="S2" s="295">
        <f>IF(STAMMDATEN!$C$18="X","X","")</f>
      </c>
      <c r="T2" s="295">
        <f>IF(STAMMDATEN!$C$19="X","X","")</f>
      </c>
    </row>
    <row r="3" spans="2:21" ht="12.75">
      <c r="B3" s="298"/>
      <c r="C3" s="312"/>
      <c r="D3" s="271"/>
      <c r="F3" s="271"/>
      <c r="G3" s="311" t="s">
        <v>62</v>
      </c>
      <c r="H3" s="266" t="s">
        <v>63</v>
      </c>
      <c r="I3" s="268" t="s">
        <v>62</v>
      </c>
      <c r="J3" s="268" t="s">
        <v>63</v>
      </c>
      <c r="K3" s="270"/>
      <c r="L3" s="295">
        <f>IF(F1="X","X","")</f>
      </c>
      <c r="M3" s="288" t="s">
        <v>8</v>
      </c>
      <c r="N3" s="282">
        <v>0</v>
      </c>
      <c r="O3" s="283">
        <v>9</v>
      </c>
      <c r="P3" s="290">
        <f aca="true" t="shared" si="0" ref="P3:T7">IF($A$1="X",SUM($O3-$N3)/4*P$1,"")</f>
        <v>0</v>
      </c>
      <c r="Q3" s="290">
        <f t="shared" si="0"/>
        <v>2.25</v>
      </c>
      <c r="R3" s="290">
        <f t="shared" si="0"/>
        <v>4.5</v>
      </c>
      <c r="S3" s="290">
        <f t="shared" si="0"/>
        <v>6.75</v>
      </c>
      <c r="T3" s="290">
        <f t="shared" si="0"/>
        <v>9</v>
      </c>
      <c r="U3" s="284">
        <f>IF($P$2="X",P3,IF($Q$2="X",Q3,IF($R$2="X",R3,IF($S$2="X",S3,IF($T$2="X",T3,"")))))</f>
        <v>4.5</v>
      </c>
    </row>
    <row r="4" spans="2:21" ht="12.75">
      <c r="B4" s="264" t="s">
        <v>150</v>
      </c>
      <c r="C4" s="296" t="s">
        <v>156</v>
      </c>
      <c r="F4" s="265" t="s">
        <v>62</v>
      </c>
      <c r="G4" s="312" t="s">
        <v>63</v>
      </c>
      <c r="H4" s="267" t="s">
        <v>62</v>
      </c>
      <c r="I4" s="267" t="s">
        <v>63</v>
      </c>
      <c r="J4" s="269" t="s">
        <v>62</v>
      </c>
      <c r="K4" s="269" t="s">
        <v>63</v>
      </c>
      <c r="L4" s="295">
        <f>IF(G1="X","X","")</f>
      </c>
      <c r="M4" s="289" t="s">
        <v>10</v>
      </c>
      <c r="N4" s="284">
        <v>10</v>
      </c>
      <c r="O4" s="285">
        <v>14</v>
      </c>
      <c r="P4" s="290">
        <f t="shared" si="0"/>
        <v>0</v>
      </c>
      <c r="Q4" s="290">
        <f t="shared" si="0"/>
        <v>1</v>
      </c>
      <c r="R4" s="290">
        <f t="shared" si="0"/>
        <v>2</v>
      </c>
      <c r="S4" s="290">
        <f t="shared" si="0"/>
        <v>3</v>
      </c>
      <c r="T4" s="290">
        <f t="shared" si="0"/>
        <v>4</v>
      </c>
      <c r="U4" s="284">
        <f>IF($P$2="X",P4,IF($Q$2="X",Q4,IF($R$2="X",R4,IF($S$2="X",S4,IF($T$2="X",T4,"")))))</f>
        <v>2</v>
      </c>
    </row>
    <row r="5" spans="1:21" ht="12.75">
      <c r="A5" s="264">
        <v>1</v>
      </c>
      <c r="B5" s="396">
        <v>0.1</v>
      </c>
      <c r="C5" s="294">
        <f>IF($F$1="X",F5,IF($G$1="X",G5,IF($H$1="X",H5,IF($I$1="X",I5,IF($J$1="X",J5,"")))))</f>
        <v>640</v>
      </c>
      <c r="D5" s="80">
        <f>IF($F$1="X",G5,IF($G$1="X",H5,IF($H$1="X",I5,IF($I$1="X",J5,IF($J$1="X",K5,"")))))</f>
        <v>989</v>
      </c>
      <c r="E5" s="80"/>
      <c r="F5" s="396">
        <v>86</v>
      </c>
      <c r="G5" s="397">
        <v>289</v>
      </c>
      <c r="H5" s="396">
        <v>640</v>
      </c>
      <c r="I5" s="396">
        <v>989</v>
      </c>
      <c r="J5" s="396">
        <v>1339</v>
      </c>
      <c r="K5" s="396">
        <v>1542</v>
      </c>
      <c r="L5" s="295" t="str">
        <f>IF(H1="X","X","")</f>
        <v>X</v>
      </c>
      <c r="M5" s="289" t="s">
        <v>12</v>
      </c>
      <c r="N5" s="284">
        <v>15</v>
      </c>
      <c r="O5" s="285">
        <v>19</v>
      </c>
      <c r="P5" s="290">
        <f t="shared" si="0"/>
        <v>0</v>
      </c>
      <c r="Q5" s="290">
        <f t="shared" si="0"/>
        <v>1</v>
      </c>
      <c r="R5" s="290">
        <f t="shared" si="0"/>
        <v>2</v>
      </c>
      <c r="S5" s="290">
        <f t="shared" si="0"/>
        <v>3</v>
      </c>
      <c r="T5" s="290">
        <f t="shared" si="0"/>
        <v>4</v>
      </c>
      <c r="U5" s="284">
        <f>IF($P$2="X",P5,IF($Q$2="X",Q5,IF($R$2="X",R5,IF($S$2="X",S5,IF($T$2="X",T5,"")))))</f>
        <v>2</v>
      </c>
    </row>
    <row r="6" spans="1:21" ht="12.75">
      <c r="A6" s="264"/>
      <c r="B6" s="73"/>
      <c r="C6" s="3"/>
      <c r="D6" s="74"/>
      <c r="E6" s="74"/>
      <c r="F6" s="3"/>
      <c r="G6" s="3"/>
      <c r="L6" s="295">
        <f>IF(I1="X","X","")</f>
      </c>
      <c r="M6" s="289" t="s">
        <v>16</v>
      </c>
      <c r="N6" s="284">
        <v>20</v>
      </c>
      <c r="O6" s="285">
        <v>24</v>
      </c>
      <c r="P6" s="290">
        <f t="shared" si="0"/>
        <v>0</v>
      </c>
      <c r="Q6" s="290">
        <f t="shared" si="0"/>
        <v>1</v>
      </c>
      <c r="R6" s="290">
        <f t="shared" si="0"/>
        <v>2</v>
      </c>
      <c r="S6" s="290">
        <f t="shared" si="0"/>
        <v>3</v>
      </c>
      <c r="T6" s="290">
        <f t="shared" si="0"/>
        <v>4</v>
      </c>
      <c r="U6" s="284">
        <f>IF($P$2="X",P6,IF($Q$2="X",Q6,IF($R$2="X",R6,IF($S$2="X",S6,IF($T$2="X",T6,"")))))</f>
        <v>2</v>
      </c>
    </row>
    <row r="7" spans="1:21" ht="12.75" customHeight="1">
      <c r="A7" s="264">
        <f>A5+1</f>
        <v>2</v>
      </c>
      <c r="B7" s="396">
        <v>0.5</v>
      </c>
      <c r="C7" s="294">
        <f>IF($F$1="X",F7,IF($G$1="X",G7,IF($H$1="X",H7,IF($I$1="X",I7,IF($J$1="X",J7,"")))))</f>
        <v>3196</v>
      </c>
      <c r="D7" s="80">
        <f>IF($F$1="X",G7,IF($G$1="X",H7,IF($H$1="X",I7,IF($I$1="X",J7,IF($J$1="X",K7,"")))))</f>
        <v>4944</v>
      </c>
      <c r="E7" s="80"/>
      <c r="F7" s="396">
        <v>429</v>
      </c>
      <c r="G7" s="397">
        <v>1447</v>
      </c>
      <c r="H7" s="396">
        <v>3196</v>
      </c>
      <c r="I7" s="397">
        <v>4944</v>
      </c>
      <c r="J7" s="396">
        <v>6693</v>
      </c>
      <c r="K7" s="397">
        <v>7710</v>
      </c>
      <c r="L7" s="295">
        <f>IF(J1="X","X","")</f>
      </c>
      <c r="M7" s="289" t="s">
        <v>14</v>
      </c>
      <c r="N7" s="286">
        <v>25</v>
      </c>
      <c r="O7" s="287">
        <v>30</v>
      </c>
      <c r="P7" s="290">
        <f t="shared" si="0"/>
        <v>0</v>
      </c>
      <c r="Q7" s="290">
        <f t="shared" si="0"/>
        <v>1.25</v>
      </c>
      <c r="R7" s="290">
        <f t="shared" si="0"/>
        <v>2.5</v>
      </c>
      <c r="S7" s="290">
        <f t="shared" si="0"/>
        <v>3.75</v>
      </c>
      <c r="T7" s="290">
        <f t="shared" si="0"/>
        <v>5</v>
      </c>
      <c r="U7" s="284">
        <f>IF($P$2="X",P7,IF($Q$2="X",Q7,IF($R$2="X",R7,IF($S$2="X",S7,IF($T$2="X",T7,"")))))</f>
        <v>2.5</v>
      </c>
    </row>
    <row r="8" spans="2:20" ht="12.75" customHeight="1">
      <c r="B8" s="73"/>
      <c r="C8" s="3"/>
      <c r="D8" s="73"/>
      <c r="E8" s="73"/>
      <c r="F8" s="3"/>
      <c r="G8" s="3"/>
      <c r="P8" s="408" t="s">
        <v>9</v>
      </c>
      <c r="Q8" s="408" t="s">
        <v>11</v>
      </c>
      <c r="R8" s="408" t="s">
        <v>13</v>
      </c>
      <c r="S8" s="408" t="s">
        <v>15</v>
      </c>
      <c r="T8" s="408" t="s">
        <v>17</v>
      </c>
    </row>
    <row r="9" spans="1:20" ht="12.75">
      <c r="A9" s="264">
        <f>A7+1</f>
        <v>3</v>
      </c>
      <c r="B9" s="396">
        <v>1</v>
      </c>
      <c r="C9" s="294">
        <f>IF($F$1="X",F9,IF($G$1="X",G9,IF($H$1="X",H9,IF($I$1="X",I9,IF($J$1="X",J9,"")))))</f>
        <v>5696</v>
      </c>
      <c r="D9" s="80">
        <f>IF($F$1="X",G9,IF($G$1="X",H9,IF($H$1="X",I9,IF($I$1="X",J9,IF($J$1="X",K9,"")))))</f>
        <v>8753</v>
      </c>
      <c r="E9" s="80"/>
      <c r="F9" s="396">
        <v>864</v>
      </c>
      <c r="G9" s="397">
        <v>2643</v>
      </c>
      <c r="H9" s="396">
        <v>5696</v>
      </c>
      <c r="I9" s="397">
        <v>8753</v>
      </c>
      <c r="J9" s="396">
        <v>11808</v>
      </c>
      <c r="K9" s="397">
        <v>13585</v>
      </c>
      <c r="P9" s="408"/>
      <c r="Q9" s="408"/>
      <c r="R9" s="408"/>
      <c r="S9" s="408"/>
      <c r="T9" s="408"/>
    </row>
    <row r="10" spans="2:20" ht="12.75">
      <c r="B10" s="73"/>
      <c r="C10" s="3"/>
      <c r="D10" s="73"/>
      <c r="E10" s="73"/>
      <c r="F10" s="3"/>
      <c r="G10" s="3"/>
      <c r="P10" s="408"/>
      <c r="Q10" s="408"/>
      <c r="R10" s="408"/>
      <c r="S10" s="408"/>
      <c r="T10" s="408"/>
    </row>
    <row r="11" spans="1:20" ht="12.75" customHeight="1">
      <c r="A11" s="264">
        <f>A9+1</f>
        <v>4</v>
      </c>
      <c r="B11" s="396">
        <v>2</v>
      </c>
      <c r="C11" s="294">
        <f>IF($F$1="X",F11,IF($G$1="X",G11,IF($H$1="X",H11,IF($I$1="X",I11,IF($J$1="X",J11,"")))))</f>
        <v>9556</v>
      </c>
      <c r="D11" s="80">
        <f>IF($F$1="X",G11,IF($G$1="X",H11,IF($H$1="X",I11,IF($I$1="X",J11,IF($J$1="X",K11,"")))))</f>
        <v>14500</v>
      </c>
      <c r="E11" s="80"/>
      <c r="F11" s="396">
        <v>1723</v>
      </c>
      <c r="G11" s="397">
        <v>4607</v>
      </c>
      <c r="H11" s="396">
        <v>9556</v>
      </c>
      <c r="I11" s="397">
        <v>14500</v>
      </c>
      <c r="J11" s="396">
        <v>19450</v>
      </c>
      <c r="K11" s="397">
        <v>22333</v>
      </c>
      <c r="P11" s="408"/>
      <c r="Q11" s="408"/>
      <c r="R11" s="408"/>
      <c r="S11" s="408"/>
      <c r="T11" s="408"/>
    </row>
    <row r="12" spans="2:20" ht="12.75">
      <c r="B12" s="73"/>
      <c r="C12" s="3"/>
      <c r="D12" s="73"/>
      <c r="E12" s="73"/>
      <c r="F12" s="3"/>
      <c r="G12" s="3"/>
      <c r="P12" s="409"/>
      <c r="Q12" s="409"/>
      <c r="R12" s="409"/>
      <c r="S12" s="409"/>
      <c r="T12" s="409"/>
    </row>
    <row r="13" spans="1:11" ht="12.75">
      <c r="A13" s="264">
        <f>A11+1</f>
        <v>5</v>
      </c>
      <c r="B13" s="396">
        <v>3</v>
      </c>
      <c r="C13" s="294">
        <f>IF($F$1="X",F13,IF($G$1="X",G13,IF($H$1="X",H13,IF($I$1="X",I13,IF($J$1="X",J13,"")))))</f>
        <v>12936</v>
      </c>
      <c r="D13" s="80">
        <f>IF($F$1="X",G13,IF($G$1="X",H13,IF($H$1="X",I13,IF($I$1="X",J13,IF($J$1="X",K13,"")))))</f>
        <v>19480</v>
      </c>
      <c r="E13" s="80"/>
      <c r="F13" s="396">
        <v>2582</v>
      </c>
      <c r="G13" s="397">
        <v>6396</v>
      </c>
      <c r="H13" s="396">
        <v>12936</v>
      </c>
      <c r="I13" s="397">
        <v>19480</v>
      </c>
      <c r="J13" s="396">
        <v>26020</v>
      </c>
      <c r="K13" s="397">
        <v>29834</v>
      </c>
    </row>
    <row r="14" spans="2:20" ht="12.75">
      <c r="B14" s="73"/>
      <c r="C14" s="3"/>
      <c r="D14" s="73"/>
      <c r="E14" s="73"/>
      <c r="F14" s="3"/>
      <c r="G14" s="3"/>
      <c r="N14" s="275">
        <f aca="true" t="shared" si="1" ref="N14:T14">IF($L3="X",N3,IF($L4="X",N4,IF($L5="X",N5,IF($L6="X",N6,IF($L7="X",N7,"")))))</f>
        <v>15</v>
      </c>
      <c r="O14" s="275">
        <f t="shared" si="1"/>
        <v>19</v>
      </c>
      <c r="P14" s="1">
        <f t="shared" si="1"/>
        <v>0</v>
      </c>
      <c r="Q14" s="1">
        <f t="shared" si="1"/>
        <v>1</v>
      </c>
      <c r="R14" s="1">
        <f t="shared" si="1"/>
        <v>2</v>
      </c>
      <c r="S14" s="1">
        <f t="shared" si="1"/>
        <v>3</v>
      </c>
      <c r="T14" s="1">
        <f t="shared" si="1"/>
        <v>4</v>
      </c>
    </row>
    <row r="15" spans="1:11" ht="12.75">
      <c r="A15" s="264">
        <f>A13+1</f>
        <v>6</v>
      </c>
      <c r="B15" s="396">
        <v>4</v>
      </c>
      <c r="C15" s="294">
        <f>IF($F$1="X",F15,IF($G$1="X",G15,IF($H$1="X",H15,IF($I$1="X",I15,IF($J$1="X",J15,"")))))</f>
        <v>15835</v>
      </c>
      <c r="D15" s="80">
        <f>IF($F$1="X",G15,IF($G$1="X",H15,IF($H$1="X",I15,IF($I$1="X",J15,IF($J$1="X",K15,"")))))</f>
        <v>23657</v>
      </c>
      <c r="E15" s="80"/>
      <c r="F15" s="396">
        <v>3446</v>
      </c>
      <c r="G15" s="397">
        <v>8012</v>
      </c>
      <c r="H15" s="396">
        <v>15835</v>
      </c>
      <c r="I15" s="397">
        <v>23657</v>
      </c>
      <c r="J15" s="396">
        <v>31480</v>
      </c>
      <c r="K15" s="397">
        <v>36046</v>
      </c>
    </row>
    <row r="16" spans="2:7" ht="12.75">
      <c r="B16" s="73"/>
      <c r="C16" s="3"/>
      <c r="D16" s="73"/>
      <c r="E16" s="73"/>
      <c r="F16" s="3"/>
      <c r="G16" s="3"/>
    </row>
    <row r="17" spans="1:11" ht="12.75">
      <c r="A17" s="264">
        <f>A15+1</f>
        <v>7</v>
      </c>
      <c r="B17" s="396">
        <v>5</v>
      </c>
      <c r="C17" s="294">
        <f>IF($F$1="X",F17,IF($G$1="X",G17,IF($H$1="X",H17,IF($I$1="X",I17,IF($J$1="X",J17,"")))))</f>
        <v>18729</v>
      </c>
      <c r="D17" s="80">
        <f>IF($F$1="X",G17,IF($G$1="X",H17,IF($H$1="X",I17,IF($I$1="X",J17,IF($J$1="X",K17,"")))))</f>
        <v>27840</v>
      </c>
      <c r="E17" s="80"/>
      <c r="F17" s="396">
        <v>4305</v>
      </c>
      <c r="G17" s="397">
        <v>9617</v>
      </c>
      <c r="H17" s="396">
        <v>18729</v>
      </c>
      <c r="I17" s="397">
        <v>27840</v>
      </c>
      <c r="J17" s="396">
        <v>36951</v>
      </c>
      <c r="K17" s="397">
        <v>42263</v>
      </c>
    </row>
    <row r="18" spans="2:7" ht="12.75">
      <c r="B18" s="73"/>
      <c r="C18" s="3"/>
      <c r="D18" s="73"/>
      <c r="E18" s="73"/>
      <c r="F18" s="3"/>
      <c r="G18" s="3"/>
    </row>
    <row r="19" spans="1:19" ht="12.75">
      <c r="A19" s="264">
        <f>A17+1</f>
        <v>8</v>
      </c>
      <c r="B19" s="396">
        <v>6</v>
      </c>
      <c r="C19" s="294">
        <f>IF($F$1="X",F19,IF($G$1="X",G19,IF($H$1="X",H19,IF($I$1="X",I19,IF($J$1="X",J19,"")))))</f>
        <v>21050</v>
      </c>
      <c r="D19" s="80">
        <f>IF($F$1="X",G19,IF($G$1="X",H19,IF($H$1="X",I19,IF($I$1="X",J19,IF($J$1="X",K19,"")))))</f>
        <v>31081</v>
      </c>
      <c r="E19" s="80"/>
      <c r="F19" s="396">
        <v>5169</v>
      </c>
      <c r="G19" s="397">
        <v>11018</v>
      </c>
      <c r="H19" s="396">
        <v>21050</v>
      </c>
      <c r="I19" s="397">
        <v>31081</v>
      </c>
      <c r="J19" s="396">
        <v>41113</v>
      </c>
      <c r="K19" s="397">
        <v>46962</v>
      </c>
      <c r="L19" t="s">
        <v>122</v>
      </c>
      <c r="S19" t="s">
        <v>161</v>
      </c>
    </row>
    <row r="20" spans="2:23" ht="12.75">
      <c r="B20" s="73"/>
      <c r="C20" s="3"/>
      <c r="D20" s="73"/>
      <c r="E20" s="73"/>
      <c r="F20" s="3"/>
      <c r="G20" s="3"/>
      <c r="L20" s="264">
        <v>1</v>
      </c>
      <c r="M20" t="s">
        <v>215</v>
      </c>
      <c r="V20" s="291">
        <v>0.01</v>
      </c>
      <c r="W20" s="308">
        <v>0.03</v>
      </c>
    </row>
    <row r="21" spans="1:23" ht="12.75">
      <c r="A21" s="264">
        <f>A19+1</f>
        <v>9</v>
      </c>
      <c r="B21" s="396">
        <v>7</v>
      </c>
      <c r="C21" s="294">
        <f>IF($F$1="X",F21,IF($G$1="X",G21,IF($H$1="X",H21,IF($I$1="X",I21,IF($J$1="X",J21,"")))))</f>
        <v>23054</v>
      </c>
      <c r="D21" s="80">
        <f>IF($F$1="X",G21,IF($G$1="X",H21,IF($H$1="X",I21,IF($I$1="X",J21,IF($J$1="X",K21,"")))))</f>
        <v>33873</v>
      </c>
      <c r="E21" s="80"/>
      <c r="F21" s="396">
        <v>5931</v>
      </c>
      <c r="G21" s="397">
        <v>12240</v>
      </c>
      <c r="H21" s="396">
        <v>23054</v>
      </c>
      <c r="I21" s="397">
        <v>33873</v>
      </c>
      <c r="J21" s="396">
        <v>44687</v>
      </c>
      <c r="K21" s="397">
        <v>50996</v>
      </c>
      <c r="L21" s="264">
        <v>2</v>
      </c>
      <c r="M21" t="s">
        <v>216</v>
      </c>
      <c r="V21" s="291">
        <v>0.1</v>
      </c>
      <c r="W21" s="308">
        <v>0.2</v>
      </c>
    </row>
    <row r="22" spans="2:22" ht="12.75">
      <c r="B22" s="73"/>
      <c r="C22" s="3"/>
      <c r="D22" s="73"/>
      <c r="E22" s="73"/>
      <c r="F22" s="3"/>
      <c r="G22" s="3"/>
      <c r="L22" s="264">
        <v>3</v>
      </c>
      <c r="M22" t="s">
        <v>158</v>
      </c>
      <c r="V22" s="291">
        <v>0.4</v>
      </c>
    </row>
    <row r="23" spans="1:22" ht="12.75">
      <c r="A23" s="264">
        <f>A21+1</f>
        <v>10</v>
      </c>
      <c r="B23" s="396">
        <v>8</v>
      </c>
      <c r="C23" s="294">
        <f>IF($F$1="X",F23,IF($G$1="X",G23,IF($H$1="X",H23,IF($I$1="X",I23,IF($J$1="X",J23,"")))))</f>
        <v>25002</v>
      </c>
      <c r="D23" s="80">
        <f>IF($F$1="X",G23,IF($G$1="X",H23,IF($H$1="X",I23,IF($I$1="X",J23,IF($J$1="X",K23,"")))))</f>
        <v>36690</v>
      </c>
      <c r="E23" s="80"/>
      <c r="F23" s="396">
        <v>6499</v>
      </c>
      <c r="G23" s="397">
        <v>13314</v>
      </c>
      <c r="H23" s="396">
        <v>25002</v>
      </c>
      <c r="I23" s="397">
        <v>36690</v>
      </c>
      <c r="J23" s="396">
        <v>48378</v>
      </c>
      <c r="K23" s="397">
        <v>55194</v>
      </c>
      <c r="L23" s="264">
        <v>4</v>
      </c>
      <c r="M23" t="s">
        <v>159</v>
      </c>
      <c r="V23" s="291">
        <v>0.3</v>
      </c>
    </row>
    <row r="24" spans="2:22" ht="12.75">
      <c r="B24" s="73"/>
      <c r="C24" s="3"/>
      <c r="D24" s="73"/>
      <c r="E24" s="73"/>
      <c r="F24" s="3"/>
      <c r="G24" s="3"/>
      <c r="L24" s="264">
        <v>5</v>
      </c>
      <c r="M24" t="s">
        <v>160</v>
      </c>
      <c r="V24" s="291">
        <v>0.07</v>
      </c>
    </row>
    <row r="25" spans="1:11" ht="12.75">
      <c r="A25" s="264">
        <f>A23+1</f>
        <v>11</v>
      </c>
      <c r="B25" s="396">
        <v>9</v>
      </c>
      <c r="C25" s="294">
        <f>IF($F$1="X",F25,IF($G$1="X",G25,IF($H$1="X",H25,IF($I$1="X",I25,IF($J$1="X",J25,"")))))</f>
        <v>26833</v>
      </c>
      <c r="D25" s="80">
        <f>IF($F$1="X",G25,IF($G$1="X",H25,IF($H$1="X",I25,IF($I$1="X",J25,IF($J$1="X",K25,"")))))</f>
        <v>39308</v>
      </c>
      <c r="E25" s="80"/>
      <c r="F25" s="396">
        <v>7071</v>
      </c>
      <c r="G25" s="397">
        <v>14352</v>
      </c>
      <c r="H25" s="396">
        <v>26833</v>
      </c>
      <c r="I25" s="397">
        <v>39308</v>
      </c>
      <c r="J25" s="396">
        <v>51789</v>
      </c>
      <c r="K25" s="397">
        <v>59070</v>
      </c>
    </row>
    <row r="26" spans="2:7" ht="12.75">
      <c r="B26" s="73"/>
      <c r="C26" s="3"/>
      <c r="D26" s="73"/>
      <c r="E26" s="73"/>
      <c r="F26" s="3"/>
      <c r="G26" s="3"/>
    </row>
    <row r="27" spans="1:11" ht="12.75">
      <c r="A27" s="264">
        <f>A25+1</f>
        <v>12</v>
      </c>
      <c r="B27" s="396">
        <v>10</v>
      </c>
      <c r="C27" s="294">
        <f>IF($F$1="X",F27,IF($G$1="X",G27,IF($H$1="X",H27,IF($I$1="X",I27,IF($J$1="X",J27,"")))))</f>
        <v>28653</v>
      </c>
      <c r="D27" s="80">
        <f>IF($F$1="X",G27,IF($G$1="X",H27,IF($H$1="X",I27,IF($I$1="X",J27,IF($J$1="X",K27,"")))))</f>
        <v>41931</v>
      </c>
      <c r="E27" s="80"/>
      <c r="F27" s="396">
        <v>7639</v>
      </c>
      <c r="G27" s="397">
        <v>15380</v>
      </c>
      <c r="H27" s="396">
        <v>28653</v>
      </c>
      <c r="I27" s="397">
        <v>41931</v>
      </c>
      <c r="J27" s="396">
        <v>55204</v>
      </c>
      <c r="K27" s="397">
        <v>62945</v>
      </c>
    </row>
    <row r="28" spans="2:7" ht="12.75">
      <c r="B28" s="73"/>
      <c r="C28" s="3"/>
      <c r="D28" s="73"/>
      <c r="E28" s="73"/>
      <c r="F28" s="3"/>
      <c r="G28" s="3"/>
    </row>
    <row r="29" spans="1:11" ht="12.75">
      <c r="A29" s="264">
        <f>A27+1</f>
        <v>13</v>
      </c>
      <c r="B29" s="396">
        <v>11</v>
      </c>
      <c r="C29" s="294">
        <f>IF($F$1="X",F29,IF($G$1="X",G29,IF($H$1="X",H29,IF($I$1="X",I29,IF($J$1="X",J29,"")))))</f>
        <v>30376</v>
      </c>
      <c r="D29" s="80">
        <f>IF($F$1="X",G29,IF($G$1="X",H29,IF($H$1="X",I29,IF($I$1="X",J29,IF($J$1="X",K29,"")))))</f>
        <v>44380</v>
      </c>
      <c r="E29" s="80"/>
      <c r="F29" s="396">
        <v>8201</v>
      </c>
      <c r="G29" s="397">
        <v>16372</v>
      </c>
      <c r="H29" s="396">
        <v>30376</v>
      </c>
      <c r="I29" s="397">
        <v>44380</v>
      </c>
      <c r="J29" s="396">
        <v>58384</v>
      </c>
      <c r="K29" s="397">
        <v>66555</v>
      </c>
    </row>
    <row r="30" spans="2:7" ht="12.75">
      <c r="B30" s="73"/>
      <c r="C30" s="3"/>
      <c r="D30" s="73"/>
      <c r="E30" s="73"/>
      <c r="F30" s="3"/>
      <c r="G30" s="3"/>
    </row>
    <row r="31" spans="1:11" ht="12.75">
      <c r="A31" s="264">
        <f>A29+1</f>
        <v>14</v>
      </c>
      <c r="B31" s="396">
        <v>12</v>
      </c>
      <c r="C31" s="294">
        <f>IF($F$1="X",F31,IF($G$1="X",G31,IF($H$1="X",H31,IF($I$1="X",I31,IF($J$1="X",J31,"")))))</f>
        <v>31894</v>
      </c>
      <c r="D31" s="80">
        <f>IF($F$1="X",G31,IF($G$1="X",H31,IF($H$1="X",I31,IF($I$1="X",J31,IF($J$1="X",K31,"")))))</f>
        <v>46502</v>
      </c>
      <c r="E31" s="80"/>
      <c r="F31" s="396">
        <v>8774</v>
      </c>
      <c r="G31" s="397">
        <v>17292</v>
      </c>
      <c r="H31" s="396">
        <v>31894</v>
      </c>
      <c r="I31" s="397">
        <v>46502</v>
      </c>
      <c r="J31" s="396">
        <v>61104</v>
      </c>
      <c r="K31" s="397">
        <v>69623</v>
      </c>
    </row>
    <row r="32" spans="2:7" ht="12.75">
      <c r="B32" s="73"/>
      <c r="C32" s="3"/>
      <c r="D32" s="73"/>
      <c r="E32" s="73"/>
      <c r="F32" s="3"/>
      <c r="G32" s="3"/>
    </row>
    <row r="33" spans="1:11" ht="12.75">
      <c r="A33" s="264">
        <f>A31+1</f>
        <v>15</v>
      </c>
      <c r="B33" s="396">
        <v>13</v>
      </c>
      <c r="C33" s="294">
        <f>IF($F$1="X",F33,IF($G$1="X",G33,IF($H$1="X",H33,IF($I$1="X",I33,IF($J$1="X",J33,"")))))</f>
        <v>33413</v>
      </c>
      <c r="D33" s="80">
        <f>IF($F$1="X",G33,IF($G$1="X",H33,IF($H$1="X",I33,IF($I$1="X",J33,IF($J$1="X",K33,"")))))</f>
        <v>48619</v>
      </c>
      <c r="E33" s="80"/>
      <c r="F33" s="396">
        <v>9346</v>
      </c>
      <c r="G33" s="397">
        <v>18212</v>
      </c>
      <c r="H33" s="396">
        <v>33413</v>
      </c>
      <c r="I33" s="397">
        <v>48619</v>
      </c>
      <c r="J33" s="396">
        <v>63819</v>
      </c>
      <c r="K33" s="397">
        <v>72685</v>
      </c>
    </row>
    <row r="34" spans="2:7" ht="12.75">
      <c r="B34" s="73"/>
      <c r="C34" s="3"/>
      <c r="D34" s="73"/>
      <c r="E34" s="73"/>
      <c r="F34" s="3"/>
      <c r="G34" s="3"/>
    </row>
    <row r="35" spans="1:11" ht="12.75">
      <c r="A35" s="264">
        <f>A33+1</f>
        <v>16</v>
      </c>
      <c r="B35" s="396">
        <v>14</v>
      </c>
      <c r="C35" s="294">
        <f>IF($F$1="X",F35,IF($G$1="X",G35,IF($H$1="X",H35,IF($I$1="X",I35,IF($J$1="X",J35,"")))))</f>
        <v>35202</v>
      </c>
      <c r="D35" s="80">
        <f>IF($F$1="X",G35,IF($G$1="X",H35,IF($H$1="X",I35,IF($I$1="X",J35,IF($J$1="X",K35,"")))))</f>
        <v>51216</v>
      </c>
      <c r="E35" s="80"/>
      <c r="F35" s="396">
        <v>9847</v>
      </c>
      <c r="G35" s="397">
        <v>19189</v>
      </c>
      <c r="H35" s="396">
        <v>35202</v>
      </c>
      <c r="I35" s="397">
        <v>51216</v>
      </c>
      <c r="J35" s="396">
        <v>67230</v>
      </c>
      <c r="K35" s="397">
        <v>76571</v>
      </c>
    </row>
    <row r="36" spans="2:7" ht="12.75">
      <c r="B36" s="73"/>
      <c r="C36" s="3"/>
      <c r="D36" s="73"/>
      <c r="E36" s="73"/>
      <c r="F36" s="3"/>
      <c r="G36" s="3"/>
    </row>
    <row r="37" spans="1:11" ht="12.75">
      <c r="A37" s="264">
        <f>A35+1</f>
        <v>17</v>
      </c>
      <c r="B37" s="396">
        <v>15</v>
      </c>
      <c r="C37" s="294">
        <f>IF($F$1="X",F37,IF($G$1="X",G37,IF($H$1="X",H37,IF($I$1="X",I37,IF($J$1="X",J37,"")))))</f>
        <v>37120</v>
      </c>
      <c r="D37" s="80">
        <f>IF($F$1="X",G37,IF($G$1="X",H37,IF($H$1="X",I37,IF($I$1="X",J37,IF($J$1="X",K37,"")))))</f>
        <v>54054</v>
      </c>
      <c r="E37" s="80"/>
      <c r="F37" s="396">
        <v>10318</v>
      </c>
      <c r="G37" s="397">
        <v>20191</v>
      </c>
      <c r="H37" s="396">
        <v>37120</v>
      </c>
      <c r="I37" s="397">
        <v>54054</v>
      </c>
      <c r="J37" s="396">
        <v>70983</v>
      </c>
      <c r="K37" s="397">
        <v>80856</v>
      </c>
    </row>
    <row r="38" spans="2:7" ht="12.75">
      <c r="B38" s="73"/>
      <c r="C38" s="3"/>
      <c r="D38" s="73"/>
      <c r="E38" s="73"/>
      <c r="F38" s="3"/>
      <c r="G38" s="3"/>
    </row>
    <row r="39" spans="1:11" ht="12.75">
      <c r="A39" s="264">
        <f>A37+1</f>
        <v>18</v>
      </c>
      <c r="B39" s="396">
        <v>16</v>
      </c>
      <c r="C39" s="294">
        <f>IF($F$1="X",F39,IF($G$1="X",G39,IF($H$1="X",H39,IF($I$1="X",I39,IF($J$1="X",J39,"")))))</f>
        <v>39047</v>
      </c>
      <c r="D39" s="80">
        <f>IF($F$1="X",G39,IF($G$1="X",H39,IF($H$1="X",I39,IF($I$1="X",J39,IF($J$1="X",K39,"")))))</f>
        <v>56888</v>
      </c>
      <c r="E39" s="80"/>
      <c r="F39" s="396">
        <v>10793</v>
      </c>
      <c r="G39" s="397">
        <v>21203</v>
      </c>
      <c r="H39" s="396">
        <v>39047</v>
      </c>
      <c r="I39" s="397">
        <v>56888</v>
      </c>
      <c r="J39" s="396">
        <v>74730</v>
      </c>
      <c r="K39" s="397">
        <v>85140</v>
      </c>
    </row>
    <row r="40" spans="2:7" ht="12.75">
      <c r="B40" s="73"/>
      <c r="C40" s="3"/>
      <c r="D40" s="73"/>
      <c r="E40" s="73"/>
      <c r="F40" s="3"/>
      <c r="G40" s="3"/>
    </row>
    <row r="41" spans="1:11" ht="12.75">
      <c r="A41" s="264">
        <f>A39+1</f>
        <v>19</v>
      </c>
      <c r="B41" s="396">
        <v>17</v>
      </c>
      <c r="C41" s="294">
        <f>IF($F$1="X",F41,IF($G$1="X",G41,IF($H$1="X",H41,IF($I$1="X",I41,IF($J$1="X",J41,"")))))</f>
        <v>40965</v>
      </c>
      <c r="D41" s="80">
        <f>IF($F$1="X",G41,IF($G$1="X",H41,IF($H$1="X",I41,IF($I$1="X",J41,IF($J$1="X",K41,"")))))</f>
        <v>59714</v>
      </c>
      <c r="E41" s="80"/>
      <c r="F41" s="396">
        <v>11269</v>
      </c>
      <c r="G41" s="397">
        <v>22211</v>
      </c>
      <c r="H41" s="396">
        <v>40965</v>
      </c>
      <c r="I41" s="397">
        <v>59714</v>
      </c>
      <c r="J41" s="396">
        <v>78468</v>
      </c>
      <c r="K41" s="397">
        <v>89410</v>
      </c>
    </row>
    <row r="42" spans="2:7" ht="12.75">
      <c r="B42" s="73"/>
      <c r="C42" s="3"/>
      <c r="D42" s="73"/>
      <c r="E42" s="73"/>
      <c r="F42" s="3"/>
      <c r="G42" s="3"/>
    </row>
    <row r="43" spans="1:11" ht="12.75">
      <c r="A43" s="264">
        <f>A41+1</f>
        <v>20</v>
      </c>
      <c r="B43" s="396">
        <v>18</v>
      </c>
      <c r="C43" s="294">
        <f>IF($F$1="X",F43,IF($G$1="X",G43,IF($H$1="X",H43,IF($I$1="X",I43,IF($J$1="X",J43,"")))))</f>
        <v>42887</v>
      </c>
      <c r="D43" s="80">
        <f>IF($F$1="X",G43,IF($G$1="X",H43,IF($H$1="X",I43,IF($I$1="X",J43,IF($J$1="X",K43,"")))))</f>
        <v>62557</v>
      </c>
      <c r="E43" s="80"/>
      <c r="F43" s="396">
        <v>11744</v>
      </c>
      <c r="G43" s="397">
        <v>23218</v>
      </c>
      <c r="H43" s="396">
        <v>42887</v>
      </c>
      <c r="I43" s="397">
        <v>62557</v>
      </c>
      <c r="J43" s="396">
        <v>82226</v>
      </c>
      <c r="K43" s="397">
        <v>93699</v>
      </c>
    </row>
    <row r="44" spans="2:7" ht="12.75">
      <c r="B44" s="73"/>
      <c r="C44" s="3"/>
      <c r="D44" s="73"/>
      <c r="E44" s="73"/>
      <c r="F44" s="3"/>
      <c r="G44" s="3"/>
    </row>
    <row r="45" spans="1:11" ht="12.75">
      <c r="A45" s="264">
        <f>A43+1</f>
        <v>21</v>
      </c>
      <c r="B45" s="396">
        <v>19</v>
      </c>
      <c r="C45" s="294">
        <f>IF($F$1="X",F45,IF($G$1="X",G45,IF($H$1="X",H45,IF($I$1="X",I45,IF($J$1="X",J45,"")))))</f>
        <v>44805</v>
      </c>
      <c r="D45" s="80">
        <f>IF($F$1="X",G45,IF($G$1="X",H45,IF($H$1="X",I45,IF($I$1="X",J45,IF($J$1="X",K45,"")))))</f>
        <v>65389</v>
      </c>
      <c r="E45" s="80"/>
      <c r="F45" s="396">
        <v>12220</v>
      </c>
      <c r="G45" s="397">
        <v>24225</v>
      </c>
      <c r="H45" s="396">
        <v>44805</v>
      </c>
      <c r="I45" s="397">
        <v>65389</v>
      </c>
      <c r="J45" s="396">
        <v>85969</v>
      </c>
      <c r="K45" s="397">
        <v>97974</v>
      </c>
    </row>
    <row r="46" spans="2:7" ht="12.75">
      <c r="B46" s="73"/>
      <c r="C46" s="3"/>
      <c r="D46" s="73"/>
      <c r="E46" s="73"/>
      <c r="F46" s="3"/>
      <c r="G46" s="3"/>
    </row>
    <row r="47" spans="1:11" ht="12.75">
      <c r="A47" s="264">
        <f>A45+1</f>
        <v>22</v>
      </c>
      <c r="B47" s="396">
        <v>20</v>
      </c>
      <c r="C47" s="294">
        <f>IF($F$1="X",F47,IF($G$1="X",G47,IF($H$1="X",H47,IF($I$1="X",I47,IF($J$1="X",J47,"")))))</f>
        <v>46727</v>
      </c>
      <c r="D47" s="80">
        <f>IF($F$1="X",G47,IF($G$1="X",H47,IF($H$1="X",I47,IF($I$1="X",J47,IF($J$1="X",K47,"")))))</f>
        <v>68222</v>
      </c>
      <c r="E47" s="80"/>
      <c r="F47" s="396">
        <v>12690</v>
      </c>
      <c r="G47" s="397">
        <v>25232</v>
      </c>
      <c r="H47" s="396">
        <v>46727</v>
      </c>
      <c r="I47" s="397">
        <v>68222</v>
      </c>
      <c r="J47" s="396">
        <v>89716</v>
      </c>
      <c r="K47" s="397">
        <v>102258</v>
      </c>
    </row>
    <row r="48" spans="2:7" ht="12.75">
      <c r="B48" s="73"/>
      <c r="C48" s="3"/>
      <c r="D48" s="73"/>
      <c r="E48" s="73"/>
      <c r="F48" s="3"/>
      <c r="G48" s="3"/>
    </row>
    <row r="49" spans="1:11" ht="12.75">
      <c r="A49" s="264">
        <f>A47+1</f>
        <v>23</v>
      </c>
      <c r="B49" s="396">
        <v>21</v>
      </c>
      <c r="C49" s="294">
        <f>IF($F$1="X",F49,IF($G$1="X",G49,IF($H$1="X",H49,IF($I$1="X",I49,IF($J$1="X",J49,"")))))</f>
        <v>48516</v>
      </c>
      <c r="D49" s="80">
        <f>IF($F$1="X",G49,IF($G$1="X",H49,IF($H$1="X",I49,IF($I$1="X",J49,IF($J$1="X",K49,"")))))</f>
        <v>70850</v>
      </c>
      <c r="E49" s="80"/>
      <c r="F49" s="396">
        <v>13166</v>
      </c>
      <c r="G49" s="397">
        <v>26188</v>
      </c>
      <c r="H49" s="396">
        <v>48516</v>
      </c>
      <c r="I49" s="397">
        <v>70850</v>
      </c>
      <c r="J49" s="396">
        <v>93178</v>
      </c>
      <c r="K49" s="397">
        <v>106200</v>
      </c>
    </row>
    <row r="50" spans="2:7" ht="12.75">
      <c r="B50" s="73"/>
      <c r="C50" s="3"/>
      <c r="D50" s="73"/>
      <c r="E50" s="73"/>
      <c r="F50" s="3"/>
      <c r="G50" s="3"/>
    </row>
    <row r="51" spans="1:11" ht="12.75">
      <c r="A51" s="264">
        <f>A49+1</f>
        <v>24</v>
      </c>
      <c r="B51" s="396">
        <v>22</v>
      </c>
      <c r="C51" s="294">
        <f>IF($F$1="X",F51,IF($G$1="X",G51,IF($H$1="X",H51,IF($I$1="X",I51,IF($J$1="X",J51,"")))))</f>
        <v>50321</v>
      </c>
      <c r="D51" s="80">
        <f>IF($F$1="X",G51,IF($G$1="X",H51,IF($H$1="X",I51,IF($I$1="X",J51,IF($J$1="X",K51,"")))))</f>
        <v>73483</v>
      </c>
      <c r="E51" s="80"/>
      <c r="F51" s="396">
        <v>13641</v>
      </c>
      <c r="G51" s="397">
        <v>27155</v>
      </c>
      <c r="H51" s="396">
        <v>50321</v>
      </c>
      <c r="I51" s="397">
        <v>73483</v>
      </c>
      <c r="J51" s="396">
        <v>96650</v>
      </c>
      <c r="K51" s="397">
        <v>110163</v>
      </c>
    </row>
    <row r="52" spans="2:7" ht="12.75">
      <c r="B52" s="73"/>
      <c r="C52" s="3"/>
      <c r="D52" s="73"/>
      <c r="E52" s="73"/>
      <c r="F52" s="3"/>
      <c r="G52" s="3"/>
    </row>
    <row r="53" spans="1:11" ht="12.75">
      <c r="A53" s="264">
        <f>A51+1</f>
        <v>25</v>
      </c>
      <c r="B53" s="396">
        <v>23</v>
      </c>
      <c r="C53" s="294">
        <f>IF($F$1="X",F53,IF($G$1="X",G53,IF($H$1="X",H53,IF($I$1="X",I53,IF($J$1="X",J53,"")))))</f>
        <v>52111</v>
      </c>
      <c r="D53" s="80">
        <f>IF($F$1="X",G53,IF($G$1="X",H53,IF($H$1="X",I53,IF($I$1="X",J53,IF($J$1="X",K53,"")))))</f>
        <v>76121</v>
      </c>
      <c r="E53" s="80"/>
      <c r="F53" s="396">
        <v>14101</v>
      </c>
      <c r="G53" s="397">
        <v>28106</v>
      </c>
      <c r="H53" s="396">
        <v>52111</v>
      </c>
      <c r="I53" s="397">
        <v>76121</v>
      </c>
      <c r="J53" s="396">
        <v>100126</v>
      </c>
      <c r="K53" s="397">
        <v>114131</v>
      </c>
    </row>
    <row r="54" spans="2:7" ht="12.75">
      <c r="B54" s="73"/>
      <c r="C54" s="3"/>
      <c r="D54" s="73"/>
      <c r="E54" s="73"/>
      <c r="F54" s="3"/>
      <c r="G54" s="3"/>
    </row>
    <row r="55" spans="1:11" ht="12.75">
      <c r="A55" s="264">
        <f>A53+1</f>
        <v>26</v>
      </c>
      <c r="B55" s="396">
        <v>24</v>
      </c>
      <c r="C55" s="294">
        <f>IF($F$1="X",F55,IF($G$1="X",G55,IF($H$1="X",H55,IF($I$1="X",I55,IF($J$1="X",J55,"")))))</f>
        <v>53911</v>
      </c>
      <c r="D55" s="80">
        <f>IF($F$1="X",G55,IF($G$1="X",H55,IF($H$1="X",I55,IF($I$1="X",J55,IF($J$1="X",K55,"")))))</f>
        <v>78749</v>
      </c>
      <c r="E55" s="80"/>
      <c r="F55" s="396">
        <v>14577</v>
      </c>
      <c r="G55" s="397">
        <v>29067</v>
      </c>
      <c r="H55" s="396">
        <v>53911</v>
      </c>
      <c r="I55" s="397">
        <v>78749</v>
      </c>
      <c r="J55" s="396">
        <v>103593</v>
      </c>
      <c r="K55" s="397">
        <v>118083</v>
      </c>
    </row>
    <row r="56" spans="2:7" ht="12.75">
      <c r="B56" s="73"/>
      <c r="C56" s="3"/>
      <c r="D56" s="73"/>
      <c r="E56" s="73"/>
      <c r="F56" s="3"/>
      <c r="G56" s="3"/>
    </row>
    <row r="57" spans="1:11" ht="12.75">
      <c r="A57" s="264">
        <f>A55+1</f>
        <v>27</v>
      </c>
      <c r="B57" s="396">
        <v>25</v>
      </c>
      <c r="C57" s="294">
        <f>IF($F$1="X",F57,IF($G$1="X",G57,IF($H$1="X",H57,IF($I$1="X",I57,IF($J$1="X",J57,"")))))</f>
        <v>55715</v>
      </c>
      <c r="D57" s="80">
        <f>IF($F$1="X",G57,IF($G$1="X",H57,IF($H$1="X",I57,IF($I$1="X",J57,IF($J$1="X",K57,"")))))</f>
        <v>81387</v>
      </c>
      <c r="E57" s="80"/>
      <c r="F57" s="396">
        <v>15063</v>
      </c>
      <c r="G57" s="397">
        <v>30038</v>
      </c>
      <c r="H57" s="396">
        <v>55715</v>
      </c>
      <c r="I57" s="397">
        <v>81387</v>
      </c>
      <c r="J57" s="396">
        <v>107065</v>
      </c>
      <c r="K57" s="397">
        <v>122040</v>
      </c>
    </row>
    <row r="58" spans="2:7" ht="12.75">
      <c r="B58" s="73"/>
      <c r="C58" s="3"/>
      <c r="D58" s="73"/>
      <c r="E58" s="73"/>
      <c r="F58" s="3"/>
      <c r="G58" s="3"/>
    </row>
    <row r="59" spans="1:11" ht="12.75">
      <c r="A59" s="264">
        <f>A57+1</f>
        <v>28</v>
      </c>
      <c r="B59" s="396">
        <v>30</v>
      </c>
      <c r="C59" s="294">
        <f>IF($F$1="X",F59,IF($G$1="X",G59,IF($H$1="X",H59,IF($I$1="X",I59,IF($J$1="X",J59,"")))))</f>
        <v>64806</v>
      </c>
      <c r="D59" s="80">
        <f>IF($F$1="X",G59,IF($G$1="X",H59,IF($H$1="X",I59,IF($I$1="X",J59,IF($J$1="X",K59,"")))))</f>
        <v>94942</v>
      </c>
      <c r="E59" s="80"/>
      <c r="F59" s="396">
        <v>17087</v>
      </c>
      <c r="G59" s="397">
        <v>34666</v>
      </c>
      <c r="H59" s="396">
        <v>64806</v>
      </c>
      <c r="I59" s="397">
        <v>94942</v>
      </c>
      <c r="J59" s="396">
        <v>125082</v>
      </c>
      <c r="K59" s="397">
        <v>142661</v>
      </c>
    </row>
    <row r="60" spans="2:7" ht="12.75">
      <c r="B60" s="73"/>
      <c r="C60" s="3"/>
      <c r="D60" s="73"/>
      <c r="E60" s="73"/>
      <c r="F60" s="3"/>
      <c r="G60" s="3"/>
    </row>
    <row r="61" spans="1:11" ht="12.75">
      <c r="A61" s="264">
        <f>A59+1</f>
        <v>29</v>
      </c>
      <c r="B61" s="396">
        <v>35</v>
      </c>
      <c r="C61" s="294">
        <f>IF($F$1="X",F61,IF($G$1="X",G61,IF($H$1="X",H61,IF($I$1="X",I61,IF($J$1="X",J61,"")))))</f>
        <v>73733</v>
      </c>
      <c r="D61" s="80">
        <f>IF($F$1="X",G61,IF($G$1="X",H61,IF($H$1="X",I61,IF($I$1="X",J61,IF($J$1="X",K61,"")))))</f>
        <v>108353</v>
      </c>
      <c r="E61" s="80"/>
      <c r="F61" s="396">
        <v>18928</v>
      </c>
      <c r="G61" s="397">
        <v>39119</v>
      </c>
      <c r="H61" s="396">
        <v>73733</v>
      </c>
      <c r="I61" s="397">
        <v>108353</v>
      </c>
      <c r="J61" s="396">
        <v>142987</v>
      </c>
      <c r="K61" s="397">
        <v>163158</v>
      </c>
    </row>
    <row r="62" spans="2:7" ht="12.75">
      <c r="B62" s="73"/>
      <c r="C62" s="3"/>
      <c r="D62" s="73"/>
      <c r="E62" s="73"/>
      <c r="F62" s="73"/>
      <c r="G62" s="3"/>
    </row>
    <row r="63" spans="1:11" ht="12.75">
      <c r="A63" s="264">
        <f>A61+1</f>
        <v>30</v>
      </c>
      <c r="B63" s="396">
        <v>40</v>
      </c>
      <c r="C63" s="294">
        <f>IF($F$1="X",F63,IF($G$1="X",G63,IF($H$1="X",H63,IF($I$1="X",I63,IF($J$1="X",J63,"")))))</f>
        <v>82267</v>
      </c>
      <c r="D63" s="80">
        <f>IF($F$1="X",G63,IF($G$1="X",H63,IF($H$1="X",I63,IF($I$1="X",J63,IF($J$1="X",K63,"")))))</f>
        <v>121105</v>
      </c>
      <c r="E63" s="80"/>
      <c r="F63" s="396">
        <v>20784</v>
      </c>
      <c r="G63" s="397">
        <v>43434</v>
      </c>
      <c r="H63" s="396">
        <v>82267</v>
      </c>
      <c r="I63" s="397">
        <v>121105</v>
      </c>
      <c r="J63" s="396">
        <v>159937</v>
      </c>
      <c r="K63" s="397">
        <v>182587</v>
      </c>
    </row>
    <row r="64" spans="2:7" ht="12.75">
      <c r="B64" s="73"/>
      <c r="C64" s="3"/>
      <c r="D64" s="73"/>
      <c r="E64" s="73"/>
      <c r="F64" s="73"/>
      <c r="G64" s="3"/>
    </row>
    <row r="65" spans="1:11" ht="12.75">
      <c r="A65" s="264">
        <f>A63+1</f>
        <v>31</v>
      </c>
      <c r="B65" s="396">
        <v>45</v>
      </c>
      <c r="C65" s="294">
        <f>IF($F$1="X",F65,IF($G$1="X",G65,IF($H$1="X",H65,IF($I$1="X",I65,IF($J$1="X",J65,"")))))</f>
        <v>90177</v>
      </c>
      <c r="D65" s="80">
        <f>IF($F$1="X",G65,IF($G$1="X",H65,IF($H$1="X",I65,IF($I$1="X",J65,IF($J$1="X",K65,"")))))</f>
        <v>132829</v>
      </c>
      <c r="E65" s="80"/>
      <c r="F65" s="396">
        <v>22635</v>
      </c>
      <c r="G65" s="397">
        <v>47519</v>
      </c>
      <c r="H65" s="396">
        <v>90177</v>
      </c>
      <c r="I65" s="397">
        <v>132829</v>
      </c>
      <c r="J65" s="396">
        <v>175786</v>
      </c>
      <c r="K65" s="397">
        <v>200370</v>
      </c>
    </row>
    <row r="67" spans="1:11" ht="12.75">
      <c r="A67" s="264">
        <f>A65+1</f>
        <v>32</v>
      </c>
      <c r="B67" s="396">
        <v>50</v>
      </c>
      <c r="C67" s="294">
        <f>IF($F$1="X",F67,IF($G$1="X",G67,IF($H$1="X",H67,IF($I$1="X",I67,IF($J$1="X",J67,"")))))</f>
        <v>97682</v>
      </c>
      <c r="D67" s="80">
        <f>IF($F$1="X",G67,IF($G$1="X",H67,IF($H$1="X",I67,IF($I$1="X",J67,IF($J$1="X",K67,"")))))</f>
        <v>143903</v>
      </c>
      <c r="E67" s="80"/>
      <c r="F67" s="396">
        <v>24491</v>
      </c>
      <c r="G67" s="397">
        <v>51456</v>
      </c>
      <c r="H67" s="396">
        <v>97682</v>
      </c>
      <c r="I67" s="397">
        <v>143903</v>
      </c>
      <c r="J67" s="396">
        <v>190129</v>
      </c>
      <c r="K67" s="397">
        <v>217095</v>
      </c>
    </row>
    <row r="69" spans="1:11" ht="12.75">
      <c r="A69" s="264">
        <f>A67+1</f>
        <v>33</v>
      </c>
      <c r="B69" s="396">
        <v>60</v>
      </c>
      <c r="C69" s="294">
        <f>IF($F$1="X",F69,IF($G$1="X",G69,IF($H$1="X",H69,IF($I$1="X",I69,IF($J$1="X",J69,"")))))</f>
        <v>111221</v>
      </c>
      <c r="D69" s="80">
        <f>IF($F$1="X",G69,IF($G$1="X",H69,IF($H$1="X",I69,IF($I$1="X",J69,IF($J$1="X",K69,"")))))</f>
        <v>164166</v>
      </c>
      <c r="E69" s="80"/>
      <c r="F69" s="396">
        <v>27385</v>
      </c>
      <c r="G69" s="397">
        <v>58272</v>
      </c>
      <c r="H69" s="396">
        <v>111221</v>
      </c>
      <c r="I69" s="397">
        <v>164166</v>
      </c>
      <c r="J69" s="396">
        <v>217115</v>
      </c>
      <c r="K69" s="397">
        <v>248002</v>
      </c>
    </row>
    <row r="71" spans="1:11" ht="12.75">
      <c r="A71" s="264">
        <f>A69+1</f>
        <v>34</v>
      </c>
      <c r="B71" s="396">
        <v>70</v>
      </c>
      <c r="C71" s="294">
        <f>IF($F$1="X",F71,IF($G$1="X",G71,IF($H$1="X",H71,IF($I$1="X",I71,IF($J$1="X",J71,"")))))</f>
        <v>123022</v>
      </c>
      <c r="D71" s="80">
        <f>IF($F$1="X",G71,IF($G$1="X",H71,IF($H$1="X",I71,IF($I$1="X",J71,IF($J$1="X",K71,"")))))</f>
        <v>181831</v>
      </c>
      <c r="E71" s="80"/>
      <c r="F71" s="396">
        <v>29905</v>
      </c>
      <c r="G71" s="397">
        <v>64213</v>
      </c>
      <c r="H71" s="396">
        <v>123022</v>
      </c>
      <c r="I71" s="397">
        <v>181831</v>
      </c>
      <c r="J71" s="396">
        <v>240640</v>
      </c>
      <c r="K71" s="397">
        <v>274947</v>
      </c>
    </row>
    <row r="73" spans="1:11" ht="12.75">
      <c r="A73" s="264">
        <f>A71+1</f>
        <v>35</v>
      </c>
      <c r="B73" s="396">
        <v>80</v>
      </c>
      <c r="C73" s="294">
        <f>IF($F$1="X",F73,IF($G$1="X",G73,IF($H$1="X",H73,IF($I$1="X",I73,IF($J$1="X",J73,"")))))</f>
        <v>134807</v>
      </c>
      <c r="D73" s="80">
        <f>IF($F$1="X",G73,IF($G$1="X",H73,IF($H$1="X",I73,IF($I$1="X",J73,IF($J$1="X",K73,"")))))</f>
        <v>199496</v>
      </c>
      <c r="E73" s="80"/>
      <c r="F73" s="396">
        <v>32380</v>
      </c>
      <c r="G73" s="397">
        <v>70119</v>
      </c>
      <c r="H73" s="396">
        <v>134807</v>
      </c>
      <c r="I73" s="397">
        <v>199496</v>
      </c>
      <c r="J73" s="396">
        <v>264185</v>
      </c>
      <c r="K73" s="397">
        <v>301923</v>
      </c>
    </row>
    <row r="75" spans="1:11" ht="12.75">
      <c r="A75" s="264">
        <f>A73+1</f>
        <v>36</v>
      </c>
      <c r="B75" s="396">
        <v>90</v>
      </c>
      <c r="C75" s="294">
        <f>IF($F$1="X",F75,IF($G$1="X",G75,IF($H$1="X",H75,IF($I$1="X",I75,IF($J$1="X",J75,"")))))</f>
        <v>146874</v>
      </c>
      <c r="D75" s="80">
        <f>IF($F$1="X",G75,IF($G$1="X",H75,IF($H$1="X",I75,IF($I$1="X",J75,IF($J$1="X",K75,"")))))</f>
        <v>217698</v>
      </c>
      <c r="E75" s="80"/>
      <c r="F75" s="396">
        <v>34727</v>
      </c>
      <c r="G75" s="397">
        <v>76044</v>
      </c>
      <c r="H75" s="396">
        <v>146874</v>
      </c>
      <c r="I75" s="397">
        <v>217698</v>
      </c>
      <c r="J75" s="396">
        <v>288527</v>
      </c>
      <c r="K75" s="397">
        <v>329845</v>
      </c>
    </row>
    <row r="77" spans="1:11" ht="12.75">
      <c r="A77" s="264">
        <f>A75+1</f>
        <v>37</v>
      </c>
      <c r="B77" s="396">
        <v>100</v>
      </c>
      <c r="C77" s="294">
        <f>IF($F$1="X",F77,IF($G$1="X",G77,IF($H$1="X",H77,IF($I$1="X",I77,IF($J$1="X",J77,"")))))</f>
        <v>159717</v>
      </c>
      <c r="D77" s="80">
        <f>IF($F$1="X",G77,IF($G$1="X",H77,IF($H$1="X",I77,IF($I$1="X",J77,IF($J$1="X",K77,"")))))</f>
        <v>237204</v>
      </c>
      <c r="E77" s="80"/>
      <c r="F77" s="396">
        <v>37033</v>
      </c>
      <c r="G77" s="397">
        <v>82231</v>
      </c>
      <c r="H77" s="396">
        <v>159717</v>
      </c>
      <c r="I77" s="397">
        <v>237204</v>
      </c>
      <c r="J77" s="396">
        <v>214690</v>
      </c>
      <c r="K77" s="397">
        <v>359888</v>
      </c>
    </row>
  </sheetData>
  <sheetProtection password="CBBE" sheet="1" objects="1" scenarios="1"/>
  <mergeCells count="5">
    <mergeCell ref="P8:P12"/>
    <mergeCell ref="T8:T12"/>
    <mergeCell ref="Q8:Q12"/>
    <mergeCell ref="R8:R12"/>
    <mergeCell ref="S8:S1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1"/>
  <sheetViews>
    <sheetView workbookViewId="0" topLeftCell="A1">
      <selection activeCell="C5" sqref="C5"/>
    </sheetView>
  </sheetViews>
  <sheetFormatPr defaultColWidth="11.421875" defaultRowHeight="10.5" customHeight="1"/>
  <cols>
    <col min="1" max="4" width="3.7109375" style="73" customWidth="1"/>
    <col min="5" max="5" width="12.28125" style="73" customWidth="1"/>
    <col min="6" max="6" width="4.140625" style="74" customWidth="1"/>
    <col min="7" max="11" width="10.28125" style="73" customWidth="1"/>
    <col min="12" max="12" width="10.28125" style="75" customWidth="1"/>
    <col min="13" max="15" width="10.28125" style="73" customWidth="1"/>
    <col min="16" max="16" width="10.28125" style="75" customWidth="1"/>
    <col min="17" max="24" width="10.28125" style="73" customWidth="1"/>
    <col min="25" max="16384" width="11.421875" style="73" customWidth="1"/>
  </cols>
  <sheetData>
    <row r="1" spans="4:24" ht="12.75">
      <c r="D1" s="335" t="s">
        <v>177</v>
      </c>
      <c r="E1" s="2">
        <f>IF(STAMMDATEN!$B$23="",1.95583,STAMMDATEN!$B$23)</f>
        <v>1.95583</v>
      </c>
      <c r="F1" s="316" t="str">
        <f>IF(STAMMDATEN!A21="X","X","")</f>
        <v>X</v>
      </c>
      <c r="G1" s="73" t="s">
        <v>94</v>
      </c>
      <c r="H1" s="345" t="s">
        <v>180</v>
      </c>
      <c r="I1" s="140">
        <f>IF($G4="","",ROUND(I4+(($G4-K4)*(J4-I4)/(L4-K4)),0))</f>
        <v>22931</v>
      </c>
      <c r="M1" s="140">
        <f>IF($G7="","",ROUND(M7+(($G7-O7)*(N7-M7)/(P7-O7)),0))</f>
      </c>
      <c r="Q1" s="140">
        <f>IF($G10="","",ROUND(Q10+(($G10-S10)*(R10-Q10)/(T10-S10)),0))</f>
      </c>
      <c r="U1" s="140">
        <f>IF($G13="","",ROUND(U13+(($G13-W13)*(V13-U13)/(X13-W13)),0))</f>
      </c>
      <c r="X1" s="76"/>
    </row>
    <row r="2" spans="1:24" ht="19.5">
      <c r="A2" s="77" t="s">
        <v>65</v>
      </c>
      <c r="F2" s="316">
        <f>IF(STAMMDATEN!A22="X","X","")</f>
      </c>
      <c r="G2" s="73" t="s">
        <v>146</v>
      </c>
      <c r="I2" s="74" t="s">
        <v>66</v>
      </c>
      <c r="J2" s="74" t="s">
        <v>78</v>
      </c>
      <c r="K2" s="74" t="s">
        <v>66</v>
      </c>
      <c r="L2" s="74" t="s">
        <v>78</v>
      </c>
      <c r="M2" s="74" t="s">
        <v>66</v>
      </c>
      <c r="N2" s="74" t="s">
        <v>78</v>
      </c>
      <c r="O2" s="74" t="s">
        <v>66</v>
      </c>
      <c r="P2" s="74" t="s">
        <v>78</v>
      </c>
      <c r="Q2" s="74" t="s">
        <v>66</v>
      </c>
      <c r="R2" s="74" t="s">
        <v>78</v>
      </c>
      <c r="S2" s="74" t="s">
        <v>66</v>
      </c>
      <c r="T2" s="74" t="s">
        <v>78</v>
      </c>
      <c r="U2" s="74" t="s">
        <v>66</v>
      </c>
      <c r="V2" s="74" t="s">
        <v>78</v>
      </c>
      <c r="W2" s="74" t="s">
        <v>66</v>
      </c>
      <c r="X2" s="74" t="s">
        <v>78</v>
      </c>
    </row>
    <row r="3" spans="1:24" ht="10.5" customHeight="1">
      <c r="A3" s="78"/>
      <c r="B3" s="79" t="s">
        <v>55</v>
      </c>
      <c r="C3" s="80"/>
      <c r="D3" s="80"/>
      <c r="E3" s="80"/>
      <c r="F3" s="81"/>
      <c r="G3" s="74" t="s">
        <v>64</v>
      </c>
      <c r="I3" s="74" t="s">
        <v>72</v>
      </c>
      <c r="J3" s="74" t="s">
        <v>72</v>
      </c>
      <c r="K3" s="74" t="s">
        <v>67</v>
      </c>
      <c r="L3" s="74" t="s">
        <v>67</v>
      </c>
      <c r="M3" s="74" t="s">
        <v>72</v>
      </c>
      <c r="N3" s="74" t="s">
        <v>72</v>
      </c>
      <c r="O3" s="74" t="s">
        <v>67</v>
      </c>
      <c r="P3" s="74" t="s">
        <v>67</v>
      </c>
      <c r="Q3" s="74" t="s">
        <v>72</v>
      </c>
      <c r="R3" s="74" t="s">
        <v>72</v>
      </c>
      <c r="S3" s="74" t="s">
        <v>67</v>
      </c>
      <c r="T3" s="74" t="s">
        <v>67</v>
      </c>
      <c r="U3" s="74" t="s">
        <v>72</v>
      </c>
      <c r="V3" s="74" t="s">
        <v>72</v>
      </c>
      <c r="W3" s="74" t="s">
        <v>67</v>
      </c>
      <c r="X3" s="74" t="s">
        <v>67</v>
      </c>
    </row>
    <row r="4" spans="1:12" ht="10.5" customHeight="1">
      <c r="A4" s="78" t="s">
        <v>0</v>
      </c>
      <c r="B4" s="403" t="s">
        <v>221</v>
      </c>
      <c r="C4" s="80"/>
      <c r="D4" s="80"/>
      <c r="E4" s="336">
        <f>IF(G4="","",IF($F$1="X",I$1,IF($F$2="X",SUM(I$1*$E$1),"")))</f>
        <v>22931</v>
      </c>
      <c r="F4" s="81"/>
      <c r="G4" s="82">
        <f>IF(STAMMDATEN!B42="","",STAMMDATEN!B42)</f>
        <v>4.9</v>
      </c>
      <c r="I4" s="80">
        <f>MAX(I18:I91)</f>
        <v>19746</v>
      </c>
      <c r="J4" s="80">
        <f>MAX(J18:J91)</f>
        <v>23285</v>
      </c>
      <c r="K4" s="80">
        <f>MAX(K18:K91)</f>
        <v>4</v>
      </c>
      <c r="L4" s="80">
        <f>MAX(L18:L91)</f>
        <v>5</v>
      </c>
    </row>
    <row r="5" spans="1:12" ht="10.5" customHeight="1">
      <c r="A5" s="78"/>
      <c r="B5" s="79"/>
      <c r="C5" s="80"/>
      <c r="D5" s="80"/>
      <c r="E5" s="80"/>
      <c r="F5" s="81"/>
      <c r="G5" s="334" t="s">
        <v>1</v>
      </c>
      <c r="I5" s="334" t="s">
        <v>3</v>
      </c>
      <c r="J5" s="334" t="s">
        <v>5</v>
      </c>
      <c r="K5" s="334" t="s">
        <v>2</v>
      </c>
      <c r="L5" s="334" t="s">
        <v>4</v>
      </c>
    </row>
    <row r="6" spans="1:10" ht="10.5" customHeight="1">
      <c r="A6" s="80"/>
      <c r="B6" s="83"/>
      <c r="C6" s="84" t="s">
        <v>56</v>
      </c>
      <c r="D6" s="80"/>
      <c r="E6" s="80"/>
      <c r="F6" s="81"/>
      <c r="H6" s="274" t="s">
        <v>69</v>
      </c>
      <c r="I6" s="274">
        <f>IF($F$15="X",'Tafel § 38'!N14,IF($F$16="X",'Tafel § 41'!N14,""))</f>
        <v>15</v>
      </c>
      <c r="J6" s="274">
        <f>IF($F$15="X",'Tafel § 38'!O14,IF($F$16="X",'Tafel § 41'!O14,""))</f>
        <v>19</v>
      </c>
    </row>
    <row r="7" spans="1:16" ht="10.5" customHeight="1">
      <c r="A7" s="80"/>
      <c r="B7" s="83" t="s">
        <v>6</v>
      </c>
      <c r="C7" s="80"/>
      <c r="D7" s="80"/>
      <c r="E7" s="339">
        <f>IF(G7="","",IF($F$1="X",M$1,IF($F$2="X",SUM(M$1*$E$1),"")))</f>
      </c>
      <c r="F7" s="81"/>
      <c r="G7" s="82"/>
      <c r="H7" s="340">
        <f>IF(STAMMDATEN!C15="X","X","")</f>
      </c>
      <c r="I7" s="341" t="s">
        <v>9</v>
      </c>
      <c r="J7" s="80">
        <f>IF($F$15="X",'Tafel § 38'!$P$14,IF($F$16="X",'Tafel § 41'!$P$14,""))</f>
        <v>0</v>
      </c>
      <c r="M7" s="80">
        <f>MAX(M18:M91)</f>
        <v>0</v>
      </c>
      <c r="N7" s="80">
        <f>MAX(N18:N91)</f>
        <v>0</v>
      </c>
      <c r="O7" s="80">
        <f>MAX(O18:O91)</f>
        <v>0</v>
      </c>
      <c r="P7" s="80">
        <f>MAX(P18:P91)</f>
        <v>0</v>
      </c>
    </row>
    <row r="8" spans="1:12" ht="10.5" customHeight="1">
      <c r="A8" s="80"/>
      <c r="B8" s="85"/>
      <c r="C8" s="84"/>
      <c r="D8" s="80"/>
      <c r="E8" s="80"/>
      <c r="F8" s="81"/>
      <c r="H8" s="340">
        <f>IF(STAMMDATEN!C16="X","X","")</f>
      </c>
      <c r="I8" s="341" t="s">
        <v>11</v>
      </c>
      <c r="J8" s="80">
        <f>IF($F$15="X",'Tafel § 38'!$Q$14,IF($F$16="X",'Tafel § 41'!$Q$14,""))</f>
        <v>1</v>
      </c>
      <c r="K8" s="346" t="s">
        <v>181</v>
      </c>
      <c r="L8" s="347"/>
    </row>
    <row r="9" spans="1:12" ht="10.5" customHeight="1">
      <c r="A9" s="80"/>
      <c r="B9" s="80"/>
      <c r="C9" s="86"/>
      <c r="D9" s="87" t="s">
        <v>57</v>
      </c>
      <c r="E9" s="80"/>
      <c r="F9" s="81"/>
      <c r="H9" s="340" t="str">
        <f>IF(STAMMDATEN!C17="X","X","")</f>
        <v>X</v>
      </c>
      <c r="I9" s="341" t="s">
        <v>13</v>
      </c>
      <c r="J9" s="80">
        <f>IF($F$15="X",'Tafel § 38'!$R$14,IF($F$16="X",'Tafel § 41'!$R$14,""))</f>
        <v>2</v>
      </c>
      <c r="K9" s="346" t="s">
        <v>182</v>
      </c>
      <c r="L9" s="347"/>
    </row>
    <row r="10" spans="1:20" ht="10.5" customHeight="1">
      <c r="A10" s="80"/>
      <c r="B10" s="80"/>
      <c r="C10" s="86" t="s">
        <v>49</v>
      </c>
      <c r="D10" s="80"/>
      <c r="E10" s="337">
        <f>IF(G10="","",IF($F$1="X",Q$1,IF($F$2="X",SUM(Q$1*$E$1),"")))</f>
      </c>
      <c r="F10" s="81"/>
      <c r="G10" s="82"/>
      <c r="H10" s="340">
        <f>IF(STAMMDATEN!C18="X","X","")</f>
      </c>
      <c r="I10" s="341" t="s">
        <v>15</v>
      </c>
      <c r="J10" s="80">
        <f>IF($F$15="X",'Tafel § 38'!$S$14,IF($F$16="X",'Tafel § 41'!$S$14,""))</f>
        <v>3</v>
      </c>
      <c r="K10" s="346" t="s">
        <v>183</v>
      </c>
      <c r="L10" s="347"/>
      <c r="Q10" s="80">
        <f>MAX(Q18:Q91)</f>
        <v>0</v>
      </c>
      <c r="R10" s="80">
        <f>MAX(R18:R91)</f>
        <v>0</v>
      </c>
      <c r="S10" s="80">
        <f>MAX(S18:S91)</f>
        <v>0</v>
      </c>
      <c r="T10" s="80">
        <f>MAX(T18:T91)</f>
        <v>0</v>
      </c>
    </row>
    <row r="11" spans="1:12" ht="10.5" customHeight="1">
      <c r="A11" s="80"/>
      <c r="B11" s="80"/>
      <c r="C11" s="88"/>
      <c r="D11" s="87"/>
      <c r="E11" s="80"/>
      <c r="F11" s="81"/>
      <c r="H11" s="340">
        <f>IF(STAMMDATEN!C19="X","X","")</f>
      </c>
      <c r="I11" s="342" t="s">
        <v>17</v>
      </c>
      <c r="J11" s="343">
        <f>IF($F$15="X",'Tafel § 38'!$T$14,IF($F$16="X",'Tafel § 41'!$T$14,""))</f>
        <v>4</v>
      </c>
      <c r="K11" s="346" t="s">
        <v>184</v>
      </c>
      <c r="L11" s="347"/>
    </row>
    <row r="12" spans="1:12" ht="10.5" customHeight="1">
      <c r="A12" s="80"/>
      <c r="B12" s="80"/>
      <c r="C12" s="80"/>
      <c r="D12" s="89"/>
      <c r="E12" s="90" t="s">
        <v>58</v>
      </c>
      <c r="F12" s="81"/>
      <c r="H12" s="344"/>
      <c r="I12" s="344" t="s">
        <v>70</v>
      </c>
      <c r="J12" s="80">
        <f>IF(H7="X",SUM($I$6+J7),IF(H8="X",SUM($I$6+J8),IF(H9="X",SUM($I$6+J9),IF(H10="X",SUM($I$6+J10),IF(H11="X",SUM($I$6+J11),"")))))</f>
        <v>17</v>
      </c>
      <c r="K12" s="346" t="s">
        <v>185</v>
      </c>
      <c r="L12" s="347"/>
    </row>
    <row r="13" spans="1:24" ht="10.5" customHeight="1">
      <c r="A13" s="80"/>
      <c r="B13" s="80"/>
      <c r="C13" s="80"/>
      <c r="D13" s="89" t="s">
        <v>48</v>
      </c>
      <c r="E13" s="338">
        <f>IF(G13="","",IF($F$1="X",U$1,IF($F$2="X",SUM(U$1*$E$1),"")))</f>
      </c>
      <c r="F13" s="81"/>
      <c r="G13" s="82"/>
      <c r="H13" s="80"/>
      <c r="I13" s="81"/>
      <c r="J13" s="81"/>
      <c r="K13" s="346" t="s">
        <v>186</v>
      </c>
      <c r="L13" s="347"/>
      <c r="M13" s="74"/>
      <c r="N13" s="74"/>
      <c r="U13" s="80">
        <f>MAX(U18:U91)</f>
        <v>0</v>
      </c>
      <c r="V13" s="80">
        <f>MAX(V18:V91)</f>
        <v>0</v>
      </c>
      <c r="W13" s="80">
        <f>MAX(W18:W91)</f>
        <v>0</v>
      </c>
      <c r="X13" s="80">
        <f>MAX(X18:X91)</f>
        <v>0</v>
      </c>
    </row>
    <row r="14" spans="1:12" ht="10.5" customHeight="1">
      <c r="A14" s="80"/>
      <c r="B14" s="80"/>
      <c r="C14" s="80"/>
      <c r="D14" s="89"/>
      <c r="E14" s="90"/>
      <c r="F14" s="81"/>
      <c r="G14" s="74"/>
      <c r="H14" s="74"/>
      <c r="I14" s="74"/>
      <c r="J14" s="74"/>
      <c r="K14" s="74"/>
      <c r="L14" s="74"/>
    </row>
    <row r="15" spans="1:8" ht="10.5" customHeight="1">
      <c r="A15" s="80"/>
      <c r="B15" s="314" t="s">
        <v>162</v>
      </c>
      <c r="C15" s="315">
        <f>'Tafel § 38'!E1</f>
        <v>38</v>
      </c>
      <c r="D15" s="80"/>
      <c r="E15" s="313" t="str">
        <f>'Tafel § 38'!B1</f>
        <v>Flächennutzungsplan</v>
      </c>
      <c r="F15" s="316">
        <f>IF(STAMMDATEN!A26="X","X","")</f>
      </c>
      <c r="H15" s="74"/>
    </row>
    <row r="16" spans="1:24" ht="10.5" customHeight="1">
      <c r="A16" s="80"/>
      <c r="B16" s="314" t="s">
        <v>162</v>
      </c>
      <c r="C16" s="315">
        <f>'Tafel § 41'!E1</f>
        <v>41</v>
      </c>
      <c r="D16" s="80"/>
      <c r="E16" s="313" t="str">
        <f>'Tafel § 41'!B1</f>
        <v>Bebauungsplan</v>
      </c>
      <c r="F16" s="316" t="str">
        <f>IF(STAMMDATEN!A27="X","X","")</f>
        <v>X</v>
      </c>
      <c r="G16" s="80"/>
      <c r="H16" s="81"/>
      <c r="I16" s="91" t="s">
        <v>0</v>
      </c>
      <c r="J16" s="92"/>
      <c r="K16" s="78"/>
      <c r="L16" s="78"/>
      <c r="M16" s="83" t="s">
        <v>6</v>
      </c>
      <c r="N16" s="83"/>
      <c r="O16" s="85"/>
      <c r="P16" s="85"/>
      <c r="Q16" s="88" t="s">
        <v>49</v>
      </c>
      <c r="R16" s="88"/>
      <c r="S16" s="88"/>
      <c r="T16" s="88"/>
      <c r="U16" s="93" t="s">
        <v>48</v>
      </c>
      <c r="V16" s="93"/>
      <c r="W16" s="93"/>
      <c r="X16" s="93"/>
    </row>
    <row r="17" spans="6:16" ht="10.5" customHeight="1">
      <c r="F17" s="73"/>
      <c r="G17" s="74" t="s">
        <v>62</v>
      </c>
      <c r="H17" s="74" t="s">
        <v>63</v>
      </c>
      <c r="L17" s="73"/>
      <c r="P17" s="73"/>
    </row>
    <row r="18" spans="1:24" ht="10.5" customHeight="1">
      <c r="A18" s="80">
        <f>IF($G$4="","",IF($G$4=E18,"X",""))</f>
      </c>
      <c r="B18" s="80">
        <f>IF($G$7="","",IF($G$7=E18,"X",""))</f>
      </c>
      <c r="C18" s="80">
        <f>IF($G$10="","",IF($G$10=E18,"X",""))</f>
      </c>
      <c r="D18" s="80">
        <f>IF($G$13="","",IF($G$13=E18,"X",""))</f>
      </c>
      <c r="E18" s="80">
        <f>IF($F$15="X",'Tafel § 38'!B5,IF($F$16="X",'Tafel § 41'!B5,""))</f>
        <v>0.1</v>
      </c>
      <c r="F18" s="80"/>
      <c r="G18" s="80">
        <f>IF($F$15="X",'Tafel § 38'!C5,IF($F$16="X",'Tafel § 41'!C5,""))</f>
        <v>640</v>
      </c>
      <c r="H18" s="80">
        <f>IF($F$15="X",'Tafel § 38'!D5,IF($F$16="X",'Tafel § 41'!D5,""))</f>
        <v>989</v>
      </c>
      <c r="I18" s="80">
        <f>IF($A18="X",ROUND($G18+($H18-$G18)*(($J$12-$I$6)/($J$6-$I$6)),0),"")</f>
      </c>
      <c r="J18" s="80">
        <f>IF($A18="X",ROUND($G18+($H18-$G18)*(($J$12-$I$6)/($J$6-$I$6)),0),"")</f>
      </c>
      <c r="K18" s="80">
        <f>IF($A18="X",$E18,"")</f>
      </c>
      <c r="L18" s="80">
        <f>IF($A18="X",$E20,"")</f>
      </c>
      <c r="M18" s="80">
        <f>IF($B18="X",ROUND($G18+($H18-$G18)*(($J$12-$I$6)/($J$6-$I$6)),0),"")</f>
      </c>
      <c r="N18" s="80">
        <f>IF($B18="X",ROUND($G18+($H18-$G18)*(($J$12-$I$6)/($J$6-$I$6)),0),"")</f>
      </c>
      <c r="O18" s="80">
        <f>IF($B18="X",$E18,"")</f>
      </c>
      <c r="P18" s="80">
        <f>IF($B18="X",$E20,"")</f>
      </c>
      <c r="Q18" s="80">
        <f>IF($C18="X",ROUND($G18+($H18-$G18)*(($J$12-$I$6)/($J$6-$I$6)),0),"")</f>
      </c>
      <c r="R18" s="80">
        <f>IF($C18="X",ROUND($G18+($H18-$G18)*(($J$12-$I$6)/($J$6-$I$6)),0),"")</f>
      </c>
      <c r="S18" s="80">
        <f>IF($C18="X",$E18,"")</f>
      </c>
      <c r="T18" s="80">
        <f>IF($C18="X",$E20,"")</f>
      </c>
      <c r="U18" s="80">
        <f>IF($D18="X",ROUND($G18+($H18-$G18)*(($J$12-$I$6)/($J$6-$I$6)),0),"")</f>
      </c>
      <c r="V18" s="80">
        <f>IF($D18="X",ROUND($G18+($H18-$G18)*(($J$12-$I$6)/($J$6-$I$6)),0),"")</f>
      </c>
      <c r="W18" s="80">
        <f>IF($D18="X",$E18,"")</f>
      </c>
      <c r="X18" s="80">
        <f>IF($D18="X",$E20,"")</f>
      </c>
    </row>
    <row r="19" spans="1:24" ht="10.5" customHeight="1">
      <c r="A19" s="73">
        <f>IF($G$4=$E18,"",IF($G$4=$E20,"",IF($G$4&gt;=$E18,IF($G$4&lt;=$E20,"X",""),"")))</f>
      </c>
      <c r="B19" s="73">
        <f>IF($G$7=$E18,"",IF($G$7=$E20,"",IF($G$7&gt;=$E18,IF($G$7&lt;=$E20,"X",""),"")))</f>
      </c>
      <c r="C19" s="73">
        <f>IF($G$10=$E18,"",IF($G$10=$E20,"",IF($G$10&gt;=$E18,IF($G$10&lt;=$E20,"X",""),"")))</f>
      </c>
      <c r="D19" s="73">
        <f>IF($G$13=$E18,"",IF($G$13=$E20,"",IF($G$13&gt;=$E18,IF($G$13&lt;=$E20,"X",""),"")))</f>
      </c>
      <c r="F19" s="73"/>
      <c r="G19" s="74"/>
      <c r="H19" s="74"/>
      <c r="I19" s="94">
        <f>IF($A19="X",ROUND($G18+($H18-$G18)*(($J$12-$I$6)/($J$6-$I$6)),0),"")</f>
      </c>
      <c r="J19" s="94">
        <f>IF($A19="X",ROUND($G20+($H20-$G20)*(($J$12-$I$6)/($J$6-$I$6)),0),"")</f>
      </c>
      <c r="K19" s="94">
        <f>IF($A19="X",$E18,"")</f>
      </c>
      <c r="L19" s="94">
        <f>IF($A19="X",$E20,"")</f>
      </c>
      <c r="M19" s="94">
        <f>IF($B19="X",ROUND($G18+($H18-$G18)*(($J$12-$I$6)/($J$6-$I$6)),0),"")</f>
      </c>
      <c r="N19" s="94">
        <f>IF($B19="X",ROUND($G20+($H20-$G20)*(($J$12-$I$6)/($J$6-$I$6)),0),"")</f>
      </c>
      <c r="O19" s="94">
        <f>IF($B19="X",$E18,"")</f>
      </c>
      <c r="P19" s="94">
        <f>IF($B19="X",$E20,"")</f>
      </c>
      <c r="Q19" s="94">
        <f>IF($C19="X",ROUND($G18+($H18-$G18)*(($J$12-$I$6)/($J$6-$I$6)),0),"")</f>
      </c>
      <c r="R19" s="94">
        <f>IF($C19="X",ROUND($G20+($H20-$G20)*(($J$12-$I$6)/($J$6-$I$6)),0),"")</f>
      </c>
      <c r="S19" s="94">
        <f>IF($C19="X",$E18,"")</f>
      </c>
      <c r="T19" s="94">
        <f>IF($C19="X",$E20,"")</f>
      </c>
      <c r="U19" s="94">
        <f>IF($D19="X",ROUND($G18+($H18-$G18)*(($J$12-$I$6)/($J$6-$I$6)),0),"")</f>
      </c>
      <c r="V19" s="94">
        <f>IF($D19="X",ROUND($G20+($H20-$G20)*(($J$12-$I$6)/($J$6-$I$6)),0),"")</f>
      </c>
      <c r="W19" s="94">
        <f>IF($D19="X",$E18,"")</f>
      </c>
      <c r="X19" s="94">
        <f>IF($D19="X",$E20,"")</f>
      </c>
    </row>
    <row r="20" spans="1:24" ht="10.5" customHeight="1">
      <c r="A20" s="80">
        <f>IF($G$4="","",IF($G$4=E20,"X",""))</f>
      </c>
      <c r="B20" s="80">
        <f>IF($G$7="","",IF($G$7=E20,"X",""))</f>
      </c>
      <c r="C20" s="80">
        <f>IF($G$10="","",IF($G$10=E20,"X",""))</f>
      </c>
      <c r="D20" s="80">
        <f>IF($G$13="","",IF($G$13=E20,"X",""))</f>
      </c>
      <c r="E20" s="80">
        <f>IF($F$15="X",'Tafel § 38'!B7,IF($F$16="X",'Tafel § 41'!B7,""))</f>
        <v>0.5</v>
      </c>
      <c r="F20" s="80"/>
      <c r="G20" s="80">
        <f>IF($F$15="X",'Tafel § 38'!C7,IF($F$16="X",'Tafel § 41'!C7,""))</f>
        <v>3196</v>
      </c>
      <c r="H20" s="80">
        <f>IF($F$15="X",'Tafel § 38'!D7,IF($F$16="X",'Tafel § 41'!D7,""))</f>
        <v>4944</v>
      </c>
      <c r="I20" s="80">
        <f>IF($A20="X",ROUND($G20+($H20-$G20)*(($J$12-$I$6)/($J$6-$I$6)),0),"")</f>
      </c>
      <c r="J20" s="80">
        <f>IF($A20="X",ROUND($G20+($H20-$G20)*(($J$12-$I$6)/($J$6-$I$6)),0),"")</f>
      </c>
      <c r="K20" s="80">
        <f>IF($A20="X",$E20,"")</f>
      </c>
      <c r="L20" s="80">
        <f>IF($A20="X",$E22,"")</f>
      </c>
      <c r="M20" s="80">
        <f>IF($B20="X",ROUND($G20+($H20-$G20)*(($J$12-$I$6)/($J$6-$I$6)),0),"")</f>
      </c>
      <c r="N20" s="80">
        <f>IF($B20="X",ROUND($G20+($H20-$G20)*(($J$12-$I$6)/($J$6-$I$6)),0),"")</f>
      </c>
      <c r="O20" s="80">
        <f>IF($B20="X",$E20,"")</f>
      </c>
      <c r="P20" s="80">
        <f>IF($B20="X",$E22,"")</f>
      </c>
      <c r="Q20" s="80">
        <f>IF($C20="X",ROUND($G20+($H20-$G20)*(($J$12-$I$6)/($J$6-$I$6)),0),"")</f>
      </c>
      <c r="R20" s="80">
        <f>IF($C20="X",ROUND($G20+($H20-$G20)*(($J$12-$I$6)/($J$6-$I$6)),0),"")</f>
      </c>
      <c r="S20" s="80">
        <f>IF($C20="X",$E20,"")</f>
      </c>
      <c r="T20" s="80">
        <f>IF($C20="X",$E22,"")</f>
      </c>
      <c r="U20" s="80">
        <f>IF($D20="X",ROUND($G20+($H20-$G20)*(($J$12-$I$6)/($J$6-$I$6)),0),"")</f>
      </c>
      <c r="V20" s="80">
        <f>IF($D20="X",ROUND($G20+($H20-$G20)*(($J$12-$I$6)/($J$6-$I$6)),0),"")</f>
      </c>
      <c r="W20" s="80">
        <f>IF($D20="X",$E20,"")</f>
      </c>
      <c r="X20" s="80">
        <f>IF($D20="X",$E22,"")</f>
      </c>
    </row>
    <row r="21" spans="1:24" ht="10.5" customHeight="1">
      <c r="A21" s="73">
        <f>IF($G$4=$E20,"",IF($G$4=$E22,"",IF($G$4&gt;=$E20,IF($G$4&lt;=$E22,"X",""),"")))</f>
      </c>
      <c r="B21" s="73">
        <f>IF($G$7=$E20,"",IF($G$7=$E22,"",IF($G$7&gt;=$E20,IF($G$7&lt;=$E22,"X",""),"")))</f>
      </c>
      <c r="C21" s="73">
        <f>IF($G$10=$E20,"",IF($G$10=$E22,"",IF($G$10&gt;=$E20,IF($G$10&lt;=$E22,"X",""),"")))</f>
      </c>
      <c r="D21" s="73">
        <f>IF($G$13=$E20,"",IF($G$13=$E22,"",IF($G$13&gt;=$E20,IF($G$13&lt;=$E22,"X",""),"")))</f>
      </c>
      <c r="I21" s="94">
        <f>IF($A21="X",ROUND($G20+($H20-$G20)*(($J$12-$I$6)/($J$6-$I$6)),0),"")</f>
      </c>
      <c r="J21" s="94">
        <f>IF($A21="X",ROUND($G22+($H22-$G22)*(($J$12-$I$6)/($J$6-$I$6)),0),"")</f>
      </c>
      <c r="K21" s="94">
        <f>IF($A21="X",$E20,"")</f>
      </c>
      <c r="L21" s="94">
        <f>IF($A21="X",$E22,"")</f>
      </c>
      <c r="M21" s="94">
        <f>IF($B21="X",ROUND($G20+($H20-$G20)*(($J$12-$I$6)/($J$6-$I$6)),0),"")</f>
      </c>
      <c r="N21" s="94">
        <f>IF($B21="X",ROUND($G22+($H22-$G22)*(($J$12-$I$6)/($J$6-$I$6)),0),"")</f>
      </c>
      <c r="O21" s="94">
        <f>IF($B21="X",$E20,"")</f>
      </c>
      <c r="P21" s="94">
        <f>IF($B21="X",$E22,"")</f>
      </c>
      <c r="Q21" s="94">
        <f>IF($C21="X",ROUND($G20+($H20-$G20)*(($J$12-$I$6)/($J$6-$I$6)),0),"")</f>
      </c>
      <c r="R21" s="94">
        <f>IF($C21="X",ROUND($G22+($H22-$G22)*(($J$12-$I$6)/($J$6-$I$6)),0),"")</f>
      </c>
      <c r="S21" s="94">
        <f>IF($C21="X",$E20,"")</f>
      </c>
      <c r="T21" s="94">
        <f>IF($C21="X",$E22,"")</f>
      </c>
      <c r="U21" s="94">
        <f>IF($D21="X",ROUND($G20+($H20-$G20)*(($J$12-$I$6)/($J$6-$I$6)),0),"")</f>
      </c>
      <c r="V21" s="94">
        <f>IF($D21="X",ROUND($G22+($H22-$G22)*(($J$12-$I$6)/($J$6-$I$6)),0),"")</f>
      </c>
      <c r="W21" s="94">
        <f>IF($D21="X",$E20,"")</f>
      </c>
      <c r="X21" s="94">
        <f>IF($D21="X",$E22,"")</f>
      </c>
    </row>
    <row r="22" spans="1:24" ht="10.5" customHeight="1">
      <c r="A22" s="80">
        <f>IF($G$4="","",IF($G$4=E22,"X",""))</f>
      </c>
      <c r="B22" s="80">
        <f>IF($G$7="","",IF($G$7=E22,"X",""))</f>
      </c>
      <c r="C22" s="80">
        <f>IF($G$10="","",IF($G$10=E22,"X",""))</f>
      </c>
      <c r="D22" s="80">
        <f>IF($G$13="","",IF($G$13=E22,"X",""))</f>
      </c>
      <c r="E22" s="80">
        <f>IF($F$15="X",'Tafel § 38'!B9,IF($F$16="X",'Tafel § 41'!B9,""))</f>
        <v>1</v>
      </c>
      <c r="F22" s="80"/>
      <c r="G22" s="80">
        <f>IF($F$15="X",'Tafel § 38'!C9,IF($F$16="X",'Tafel § 41'!C9,""))</f>
        <v>5696</v>
      </c>
      <c r="H22" s="80">
        <f>IF($F$15="X",'Tafel § 38'!D9,IF($F$16="X",'Tafel § 41'!D9,""))</f>
        <v>8753</v>
      </c>
      <c r="I22" s="80">
        <f>IF($A22="X",ROUND($G22+($H22-$G22)*(($J$12-$I$6)/($J$6-$I$6)),0),"")</f>
      </c>
      <c r="J22" s="80">
        <f>IF($A22="X",ROUND($G22+($H22-$G22)*(($J$12-$I$6)/($J$6-$I$6)),0),"")</f>
      </c>
      <c r="K22" s="80">
        <f>IF($A22="X",$E22,"")</f>
      </c>
      <c r="L22" s="80">
        <f>IF($A22="X",$E24,"")</f>
      </c>
      <c r="M22" s="80">
        <f>IF($B22="X",ROUND($G22+($H22-$G22)*(($J$12-$I$6)/($J$6-$I$6)),0),"")</f>
      </c>
      <c r="N22" s="80">
        <f>IF($B22="X",ROUND($G22+($H22-$G22)*(($J$12-$I$6)/($J$6-$I$6)),0),"")</f>
      </c>
      <c r="O22" s="80">
        <f>IF($B22="X",$E22,"")</f>
      </c>
      <c r="P22" s="80">
        <f>IF($B22="X",$E24,"")</f>
      </c>
      <c r="Q22" s="80">
        <f>IF($C22="X",ROUND($G22+($H22-$G22)*(($J$12-$I$6)/($J$6-$I$6)),0),"")</f>
      </c>
      <c r="R22" s="80">
        <f>IF($C22="X",ROUND($G22+($H22-$G22)*(($J$12-$I$6)/($J$6-$I$6)),0),"")</f>
      </c>
      <c r="S22" s="80">
        <f>IF($C22="X",$E22,"")</f>
      </c>
      <c r="T22" s="80">
        <f>IF($C22="X",$E24,"")</f>
      </c>
      <c r="U22" s="80">
        <f>IF($D22="X",ROUND($G22+($H22-$G22)*(($J$12-$I$6)/($J$6-$I$6)),0),"")</f>
      </c>
      <c r="V22" s="80">
        <f>IF($D22="X",ROUND($G22+($H22-$G22)*(($J$12-$I$6)/($J$6-$I$6)),0),"")</f>
      </c>
      <c r="W22" s="80">
        <f>IF($D22="X",$E22,"")</f>
      </c>
      <c r="X22" s="80">
        <f>IF($D22="X",$E24,"")</f>
      </c>
    </row>
    <row r="23" spans="1:24" ht="10.5" customHeight="1">
      <c r="A23" s="73">
        <f>IF($G$4=$E22,"",IF($G$4=$E24,"",IF($G$4&gt;=$E22,IF($G$4&lt;=$E24,"X",""),"")))</f>
      </c>
      <c r="B23" s="73">
        <f>IF($G$7=$E22,"",IF($G$7=$E24,"",IF($G$7&gt;=$E22,IF($G$7&lt;=$E24,"X",""),"")))</f>
      </c>
      <c r="C23" s="73">
        <f>IF($G$10=$E22,"",IF($G$10=$E24,"",IF($G$10&gt;=$E22,IF($G$10&lt;=$E24,"X",""),"")))</f>
      </c>
      <c r="D23" s="73">
        <f>IF($G$13=$E22,"",IF($G$13=$E24,"",IF($G$13&gt;=$E22,IF($G$13&lt;=$E24,"X",""),"")))</f>
      </c>
      <c r="I23" s="94">
        <f>IF($A23="X",ROUND($G22+($H22-$G22)*(($J$12-$I$6)/($J$6-$I$6)),0),"")</f>
      </c>
      <c r="J23" s="94">
        <f>IF($A23="X",ROUND($G24+($H24-$G24)*(($J$12-$I$6)/($J$6-$I$6)),0),"")</f>
      </c>
      <c r="K23" s="94">
        <f>IF($A23="X",$E22,"")</f>
      </c>
      <c r="L23" s="94">
        <f>IF($A23="X",$E24,"")</f>
      </c>
      <c r="M23" s="94">
        <f>IF($B23="X",ROUND($G22+($H22-$G22)*(($J$12-$I$6)/($J$6-$I$6)),0),"")</f>
      </c>
      <c r="N23" s="94">
        <f>IF($B23="X",ROUND($G24+($H24-$G24)*(($J$12-$I$6)/($J$6-$I$6)),0),"")</f>
      </c>
      <c r="O23" s="94">
        <f>IF($B23="X",$E22,"")</f>
      </c>
      <c r="P23" s="94">
        <f>IF($B23="X",$E24,"")</f>
      </c>
      <c r="Q23" s="94">
        <f>IF($C23="X",ROUND($G22+($H22-$G22)*(($J$12-$I$6)/($J$6-$I$6)),0),"")</f>
      </c>
      <c r="R23" s="94">
        <f>IF($C23="X",ROUND($G24+($H24-$G24)*(($J$12-$I$6)/($J$6-$I$6)),0),"")</f>
      </c>
      <c r="S23" s="94">
        <f>IF($C23="X",$E22,"")</f>
      </c>
      <c r="T23" s="94">
        <f>IF($C23="X",$E24,"")</f>
      </c>
      <c r="U23" s="94">
        <f>IF($D23="X",ROUND($G22+($H22-$G22)*(($J$12-$I$6)/($J$6-$I$6)),0),"")</f>
      </c>
      <c r="V23" s="94">
        <f>IF($D23="X",ROUND($G24+($H24-$G24)*(($J$12-$I$6)/($J$6-$I$6)),0),"")</f>
      </c>
      <c r="W23" s="94">
        <f>IF($D23="X",$E22,"")</f>
      </c>
      <c r="X23" s="94">
        <f>IF($D23="X",$E24,"")</f>
      </c>
    </row>
    <row r="24" spans="1:24" ht="10.5" customHeight="1">
      <c r="A24" s="80">
        <f>IF($G$4="","",IF($G$4=E24,"X",""))</f>
      </c>
      <c r="B24" s="80">
        <f>IF($G$7="","",IF($G$7=E24,"X",""))</f>
      </c>
      <c r="C24" s="80">
        <f>IF($G$10="","",IF($G$10=E24,"X",""))</f>
      </c>
      <c r="D24" s="80">
        <f>IF($G$13="","",IF($G$13=E24,"X",""))</f>
      </c>
      <c r="E24" s="80">
        <f>IF($F$15="X",'Tafel § 38'!B11,IF($F$16="X",'Tafel § 41'!B11,""))</f>
        <v>2</v>
      </c>
      <c r="F24" s="80"/>
      <c r="G24" s="80">
        <f>IF($F$15="X",'Tafel § 38'!C11,IF($F$16="X",'Tafel § 41'!C11,""))</f>
        <v>9556</v>
      </c>
      <c r="H24" s="80">
        <f>IF($F$15="X",'Tafel § 38'!D11,IF($F$16="X",'Tafel § 41'!D11,""))</f>
        <v>14500</v>
      </c>
      <c r="I24" s="80">
        <f>IF($A24="X",ROUND($G24+($H24-$G24)*(($J$12-$I$6)/($J$6-$I$6)),0),"")</f>
      </c>
      <c r="J24" s="80">
        <f>IF($A24="X",ROUND($G24+($H24-$G24)*(($J$12-$I$6)/($J$6-$I$6)),0),"")</f>
      </c>
      <c r="K24" s="80">
        <f>IF($A24="X",$E24,"")</f>
      </c>
      <c r="L24" s="80">
        <f>IF($A24="X",$E26,"")</f>
      </c>
      <c r="M24" s="80">
        <f>IF($B24="X",ROUND($G24+($H24-$G24)*(($J$12-$I$6)/($J$6-$I$6)),0),"")</f>
      </c>
      <c r="N24" s="80">
        <f>IF($B24="X",ROUND($G24+($H24-$G24)*(($J$12-$I$6)/($J$6-$I$6)),0),"")</f>
      </c>
      <c r="O24" s="80">
        <f>IF($B24="X",$E24,"")</f>
      </c>
      <c r="P24" s="80">
        <f>IF($B24="X",$E26,"")</f>
      </c>
      <c r="Q24" s="80">
        <f>IF($C24="X",ROUND($G24+($H24-$G24)*(($J$12-$I$6)/($J$6-$I$6)),0),"")</f>
      </c>
      <c r="R24" s="80">
        <f>IF($C24="X",ROUND($G24+($H24-$G24)*(($J$12-$I$6)/($J$6-$I$6)),0),"")</f>
      </c>
      <c r="S24" s="80">
        <f>IF($C24="X",$E24,"")</f>
      </c>
      <c r="T24" s="80">
        <f>IF($C24="X",$E26,"")</f>
      </c>
      <c r="U24" s="80">
        <f>IF($D24="X",ROUND($G24+($H24-$G24)*(($J$12-$I$6)/($J$6-$I$6)),0),"")</f>
      </c>
      <c r="V24" s="80">
        <f>IF($D24="X",ROUND($G24+($H24-$G24)*(($J$12-$I$6)/($J$6-$I$6)),0),"")</f>
      </c>
      <c r="W24" s="80">
        <f>IF($D24="X",$E24,"")</f>
      </c>
      <c r="X24" s="80">
        <f>IF($D24="X",$E26,"")</f>
      </c>
    </row>
    <row r="25" spans="1:24" ht="10.5" customHeight="1">
      <c r="A25" s="73">
        <f>IF($G$4=$E24,"",IF($G$4=$E26,"",IF($G$4&gt;=$E24,IF($G$4&lt;=$E26,"X",""),"")))</f>
      </c>
      <c r="B25" s="73">
        <f>IF($G$7=$E24,"",IF($G$7=$E26,"",IF($G$7&gt;=$E24,IF($G$7&lt;=$E26,"X",""),"")))</f>
      </c>
      <c r="C25" s="73">
        <f>IF($G$10=$E24,"",IF($G$10=$E26,"",IF($G$10&gt;=$E24,IF($G$10&lt;=$E26,"X",""),"")))</f>
      </c>
      <c r="D25" s="73">
        <f>IF($G$13=$E24,"",IF($G$13=$E26,"",IF($G$13&gt;=$E24,IF($G$13&lt;=$E26,"X",""),"")))</f>
      </c>
      <c r="I25" s="94">
        <f>IF($A25="X",ROUND($G24+($H24-$G24)*(($J$12-$I$6)/($J$6-$I$6)),0),"")</f>
      </c>
      <c r="J25" s="94">
        <f>IF($A25="X",ROUND($G26+($H26-$G26)*(($J$12-$I$6)/($J$6-$I$6)),0),"")</f>
      </c>
      <c r="K25" s="94">
        <f>IF($A25="X",$E24,"")</f>
      </c>
      <c r="L25" s="94">
        <f>IF($A25="X",$E26,"")</f>
      </c>
      <c r="M25" s="94">
        <f>IF($B25="X",ROUND($G24+($H24-$G24)*(($J$12-$I$6)/($J$6-$I$6)),0),"")</f>
      </c>
      <c r="N25" s="94">
        <f>IF($B25="X",ROUND($G26+($H26-$G26)*(($J$12-$I$6)/($J$6-$I$6)),0),"")</f>
      </c>
      <c r="O25" s="94">
        <f>IF($B25="X",$E24,"")</f>
      </c>
      <c r="P25" s="94">
        <f>IF($B25="X",$E26,"")</f>
      </c>
      <c r="Q25" s="94">
        <f>IF($C25="X",ROUND($G24+($H24-$G24)*(($J$12-$I$6)/($J$6-$I$6)),0),"")</f>
      </c>
      <c r="R25" s="94">
        <f>IF($C25="X",ROUND($G26+($H26-$G26)*(($J$12-$I$6)/($J$6-$I$6)),0),"")</f>
      </c>
      <c r="S25" s="94">
        <f>IF($C25="X",$E24,"")</f>
      </c>
      <c r="T25" s="94">
        <f>IF($C25="X",$E26,"")</f>
      </c>
      <c r="U25" s="94">
        <f>IF($D25="X",ROUND($G24+($H24-$G24)*(($J$12-$I$6)/($J$6-$I$6)),0),"")</f>
      </c>
      <c r="V25" s="94">
        <f>IF($D25="X",ROUND($G26+($H26-$G26)*(($J$12-$I$6)/($J$6-$I$6)),0),"")</f>
      </c>
      <c r="W25" s="94">
        <f>IF($D25="X",$E24,"")</f>
      </c>
      <c r="X25" s="94">
        <f>IF($D25="X",$E26,"")</f>
      </c>
    </row>
    <row r="26" spans="1:24" ht="10.5" customHeight="1">
      <c r="A26" s="80">
        <f>IF($G$4="","",IF($G$4=E26,"X",""))</f>
      </c>
      <c r="B26" s="80">
        <f>IF($G$7="","",IF($G$7=E26,"X",""))</f>
      </c>
      <c r="C26" s="80">
        <f>IF($G$10="","",IF($G$10=E26,"X",""))</f>
      </c>
      <c r="D26" s="80">
        <f>IF($G$13="","",IF($G$13=E26,"X",""))</f>
      </c>
      <c r="E26" s="80">
        <f>IF($F$15="X",'Tafel § 38'!B13,IF($F$16="X",'Tafel § 41'!B13,""))</f>
        <v>3</v>
      </c>
      <c r="F26" s="80"/>
      <c r="G26" s="80">
        <f>IF($F$15="X",'Tafel § 38'!C13,IF($F$16="X",'Tafel § 41'!C13,""))</f>
        <v>12936</v>
      </c>
      <c r="H26" s="80">
        <f>IF($F$15="X",'Tafel § 38'!D13,IF($F$16="X",'Tafel § 41'!D13,""))</f>
        <v>19480</v>
      </c>
      <c r="I26" s="80">
        <f>IF($A26="X",ROUND($G26+($H26-$G26)*(($J$12-$I$6)/($J$6-$I$6)),0),"")</f>
      </c>
      <c r="J26" s="80">
        <f>IF($A26="X",ROUND($G26+($H26-$G26)*(($J$12-$I$6)/($J$6-$I$6)),0),"")</f>
      </c>
      <c r="K26" s="80">
        <f>IF($A26="X",$E26,"")</f>
      </c>
      <c r="L26" s="80">
        <f>IF($A26="X",$E28,"")</f>
      </c>
      <c r="M26" s="80">
        <f>IF($B26="X",ROUND($G26+($H26-$G26)*(($J$12-$I$6)/($J$6-$I$6)),0),"")</f>
      </c>
      <c r="N26" s="80">
        <f>IF($B26="X",ROUND($G26+($H26-$G26)*(($J$12-$I$6)/($J$6-$I$6)),0),"")</f>
      </c>
      <c r="O26" s="80">
        <f>IF($B26="X",$E26,"")</f>
      </c>
      <c r="P26" s="80">
        <f>IF($B26="X",$E28,"")</f>
      </c>
      <c r="Q26" s="80">
        <f>IF($C26="X",ROUND($G26+($H26-$G26)*(($J$12-$I$6)/($J$6-$I$6)),0),"")</f>
      </c>
      <c r="R26" s="80">
        <f>IF($C26="X",ROUND($G26+($H26-$G26)*(($J$12-$I$6)/($J$6-$I$6)),0),"")</f>
      </c>
      <c r="S26" s="80">
        <f>IF($C26="X",$E26,"")</f>
      </c>
      <c r="T26" s="80">
        <f>IF($C26="X",$E28,"")</f>
      </c>
      <c r="U26" s="80">
        <f>IF($D26="X",ROUND($G26+($H26-$G26)*(($J$12-$I$6)/($J$6-$I$6)),0),"")</f>
      </c>
      <c r="V26" s="80">
        <f>IF($D26="X",ROUND($G26+($H26-$G26)*(($J$12-$I$6)/($J$6-$I$6)),0),"")</f>
      </c>
      <c r="W26" s="80">
        <f>IF($D26="X",$E26,"")</f>
      </c>
      <c r="X26" s="80">
        <f>IF($D26="X",$E28,"")</f>
      </c>
    </row>
    <row r="27" spans="1:24" ht="10.5" customHeight="1">
      <c r="A27" s="73">
        <f>IF($G$4=$E26,"",IF($G$4=$E28,"",IF($G$4&gt;=$E26,IF($G$4&lt;=$E28,"X",""),"")))</f>
      </c>
      <c r="B27" s="73">
        <f>IF($G$7=$E26,"",IF($G$7=$E28,"",IF($G$7&gt;=$E26,IF($G$7&lt;=$E28,"X",""),"")))</f>
      </c>
      <c r="C27" s="73">
        <f>IF($G$10=$E26,"",IF($G$10=$E28,"",IF($G$10&gt;=$E26,IF($G$10&lt;=$E28,"X",""),"")))</f>
      </c>
      <c r="D27" s="73">
        <f>IF($G$13=$E26,"",IF($G$13=$E28,"",IF($G$13&gt;=$E26,IF($G$13&lt;=$E28,"X",""),"")))</f>
      </c>
      <c r="I27" s="94">
        <f>IF($A27="X",ROUND($G26+($H26-$G26)*(($J$12-$I$6)/($J$6-$I$6)),0),"")</f>
      </c>
      <c r="J27" s="94">
        <f>IF($A27="X",ROUND($G28+($H28-$G28)*(($J$12-$I$6)/($J$6-$I$6)),0),"")</f>
      </c>
      <c r="K27" s="94">
        <f>IF($A27="X",$E26,"")</f>
      </c>
      <c r="L27" s="94">
        <f>IF($A27="X",$E28,"")</f>
      </c>
      <c r="M27" s="94">
        <f>IF($B27="X",ROUND($G26+($H26-$G26)*(($J$12-$I$6)/($J$6-$I$6)),0),"")</f>
      </c>
      <c r="N27" s="94">
        <f>IF($B27="X",ROUND($G28+($H28-$G28)*(($J$12-$I$6)/($J$6-$I$6)),0),"")</f>
      </c>
      <c r="O27" s="94">
        <f>IF($B27="X",$E26,"")</f>
      </c>
      <c r="P27" s="94">
        <f>IF($B27="X",$E28,"")</f>
      </c>
      <c r="Q27" s="94">
        <f>IF($C27="X",ROUND($G26+($H26-$G26)*(($J$12-$I$6)/($J$6-$I$6)),0),"")</f>
      </c>
      <c r="R27" s="94">
        <f>IF($C27="X",ROUND($G28+($H28-$G28)*(($J$12-$I$6)/($J$6-$I$6)),0),"")</f>
      </c>
      <c r="S27" s="94">
        <f>IF($C27="X",$E26,"")</f>
      </c>
      <c r="T27" s="94">
        <f>IF($C27="X",$E28,"")</f>
      </c>
      <c r="U27" s="94">
        <f>IF($D27="X",ROUND($G26+($H26-$G26)*(($J$12-$I$6)/($J$6-$I$6)),0),"")</f>
      </c>
      <c r="V27" s="94">
        <f>IF($D27="X",ROUND($G28+($H28-$G28)*(($J$12-$I$6)/($J$6-$I$6)),0),"")</f>
      </c>
      <c r="W27" s="94">
        <f>IF($D27="X",$E26,"")</f>
      </c>
      <c r="X27" s="94">
        <f>IF($D27="X",$E28,"")</f>
      </c>
    </row>
    <row r="28" spans="1:24" ht="10.5" customHeight="1">
      <c r="A28" s="80">
        <f>IF($G$4="","",IF($G$4=E28,"X",""))</f>
      </c>
      <c r="B28" s="80">
        <f>IF($G$7="","",IF($G$7=E28,"X",""))</f>
      </c>
      <c r="C28" s="80">
        <f>IF($G$10="","",IF($G$10=E28,"X",""))</f>
      </c>
      <c r="D28" s="80">
        <f>IF($G$13="","",IF($G$13=E28,"X",""))</f>
      </c>
      <c r="E28" s="80">
        <f>IF($F$15="X",'Tafel § 38'!B15,IF($F$16="X",'Tafel § 41'!B15,""))</f>
        <v>4</v>
      </c>
      <c r="F28" s="80"/>
      <c r="G28" s="80">
        <f>IF($F$15="X",'Tafel § 38'!C15,IF($F$16="X",'Tafel § 41'!C15,""))</f>
        <v>15835</v>
      </c>
      <c r="H28" s="80">
        <f>IF($F$15="X",'Tafel § 38'!D15,IF($F$16="X",'Tafel § 41'!D15,""))</f>
        <v>23657</v>
      </c>
      <c r="I28" s="80">
        <f>IF($A28="X",ROUND($G28+($H28-$G28)*(($J$12-$I$6)/($J$6-$I$6)),0),"")</f>
      </c>
      <c r="J28" s="80">
        <f>IF($A28="X",ROUND($G28+($H28-$G28)*(($J$12-$I$6)/($J$6-$I$6)),0),"")</f>
      </c>
      <c r="K28" s="80">
        <f>IF($A28="X",$E28,"")</f>
      </c>
      <c r="L28" s="80">
        <f>IF($A28="X",$E30,"")</f>
      </c>
      <c r="M28" s="80">
        <f>IF($B28="X",ROUND($G28+($H28-$G28)*(($J$12-$I$6)/($J$6-$I$6)),0),"")</f>
      </c>
      <c r="N28" s="80">
        <f>IF($B28="X",ROUND($G28+($H28-$G28)*(($J$12-$I$6)/($J$6-$I$6)),0),"")</f>
      </c>
      <c r="O28" s="80">
        <f>IF($B28="X",$E28,"")</f>
      </c>
      <c r="P28" s="80">
        <f>IF($B28="X",$E30,"")</f>
      </c>
      <c r="Q28" s="80">
        <f>IF($C28="X",ROUND($G28+($H28-$G28)*(($J$12-$I$6)/($J$6-$I$6)),0),"")</f>
      </c>
      <c r="R28" s="80">
        <f>IF($C28="X",ROUND($G28+($H28-$G28)*(($J$12-$I$6)/($J$6-$I$6)),0),"")</f>
      </c>
      <c r="S28" s="80">
        <f>IF($C28="X",$E28,"")</f>
      </c>
      <c r="T28" s="80">
        <f>IF($C28="X",$E30,"")</f>
      </c>
      <c r="U28" s="80">
        <f>IF($D28="X",ROUND($G28+($H28-$G28)*(($J$12-$I$6)/($J$6-$I$6)),0),"")</f>
      </c>
      <c r="V28" s="80">
        <f>IF($D28="X",ROUND($G28+($H28-$G28)*(($J$12-$I$6)/($J$6-$I$6)),0),"")</f>
      </c>
      <c r="W28" s="80">
        <f>IF($D28="X",$E28,"")</f>
      </c>
      <c r="X28" s="80">
        <f>IF($D28="X",$E30,"")</f>
      </c>
    </row>
    <row r="29" spans="1:24" ht="10.5" customHeight="1">
      <c r="A29" s="73" t="str">
        <f>IF($G$4=$E28,"",IF($G$4=$E30,"",IF($G$4&gt;=$E28,IF($G$4&lt;=$E30,"X",""),"")))</f>
        <v>X</v>
      </c>
      <c r="B29" s="73">
        <f>IF($G$7=$E28,"",IF($G$7=$E30,"",IF($G$7&gt;=$E28,IF($G$7&lt;=$E30,"X",""),"")))</f>
      </c>
      <c r="C29" s="73">
        <f>IF($G$10=$E28,"",IF($G$10=$E30,"",IF($G$10&gt;=$E28,IF($G$10&lt;=$E30,"X",""),"")))</f>
      </c>
      <c r="D29" s="73">
        <f>IF($G$13=$E28,"",IF($G$13=$E30,"",IF($G$13&gt;=$E28,IF($G$13&lt;=$E30,"X",""),"")))</f>
      </c>
      <c r="I29" s="94">
        <f>IF($A29="X",ROUND($G28+($H28-$G28)*(($J$12-$I$6)/($J$6-$I$6)),0),"")</f>
        <v>19746</v>
      </c>
      <c r="J29" s="94">
        <f>IF($A29="X",ROUND($G30+($H30-$G30)*(($J$12-$I$6)/($J$6-$I$6)),0),"")</f>
        <v>23285</v>
      </c>
      <c r="K29" s="94">
        <f>IF($A29="X",$E28,"")</f>
        <v>4</v>
      </c>
      <c r="L29" s="94">
        <f>IF($A29="X",$E30,"")</f>
        <v>5</v>
      </c>
      <c r="M29" s="94">
        <f>IF($B29="X",ROUND($G28+($H28-$G28)*(($J$12-$I$6)/($J$6-$I$6)),0),"")</f>
      </c>
      <c r="N29" s="94">
        <f>IF($B29="X",ROUND($G30+($H30-$G30)*(($J$12-$I$6)/($J$6-$I$6)),0),"")</f>
      </c>
      <c r="O29" s="94">
        <f>IF($B29="X",$E28,"")</f>
      </c>
      <c r="P29" s="94">
        <f>IF($B29="X",$E30,"")</f>
      </c>
      <c r="Q29" s="94">
        <f>IF($C29="X",ROUND($G28+($H28-$G28)*(($J$12-$I$6)/($J$6-$I$6)),0),"")</f>
      </c>
      <c r="R29" s="94">
        <f>IF($C29="X",ROUND($G30+($H30-$G30)*(($J$12-$I$6)/($J$6-$I$6)),0),"")</f>
      </c>
      <c r="S29" s="94">
        <f>IF($C29="X",$E28,"")</f>
      </c>
      <c r="T29" s="94">
        <f>IF($C29="X",$E30,"")</f>
      </c>
      <c r="U29" s="94">
        <f>IF($D29="X",ROUND($G28+($H28-$G28)*(($J$12-$I$6)/($J$6-$I$6)),0),"")</f>
      </c>
      <c r="V29" s="94">
        <f>IF($D29="X",ROUND($G30+($H30-$G30)*(($J$12-$I$6)/($J$6-$I$6)),0),"")</f>
      </c>
      <c r="W29" s="94">
        <f>IF($D29="X",$E28,"")</f>
      </c>
      <c r="X29" s="94">
        <f>IF($D29="X",$E30,"")</f>
      </c>
    </row>
    <row r="30" spans="1:24" ht="10.5" customHeight="1">
      <c r="A30" s="80">
        <f>IF($G$4="","",IF($G$4=E30,"X",""))</f>
      </c>
      <c r="B30" s="80">
        <f>IF($G$7="","",IF($G$7=E30,"X",""))</f>
      </c>
      <c r="C30" s="80">
        <f>IF($G$10="","",IF($G$10=E30,"X",""))</f>
      </c>
      <c r="D30" s="80">
        <f>IF($G$13="","",IF($G$13=E30,"X",""))</f>
      </c>
      <c r="E30" s="80">
        <f>IF($F$15="X",'Tafel § 38'!B17,IF($F$16="X",'Tafel § 41'!B17,""))</f>
        <v>5</v>
      </c>
      <c r="F30" s="80"/>
      <c r="G30" s="80">
        <f>IF($F$15="X",'Tafel § 38'!C17,IF($F$16="X",'Tafel § 41'!C17,""))</f>
        <v>18729</v>
      </c>
      <c r="H30" s="80">
        <f>IF($F$15="X",'Tafel § 38'!D17,IF($F$16="X",'Tafel § 41'!D17,""))</f>
        <v>27840</v>
      </c>
      <c r="I30" s="80">
        <f>IF($A30="X",ROUND($G30+($H30-$G30)*(($J$12-$I$6)/($J$6-$I$6)),0),"")</f>
      </c>
      <c r="J30" s="80">
        <f>IF($A30="X",ROUND($G30+($H30-$G30)*(($J$12-$I$6)/($J$6-$I$6)),0),"")</f>
      </c>
      <c r="K30" s="80">
        <f>IF($A30="X",$E30,"")</f>
      </c>
      <c r="L30" s="80">
        <f>IF($A30="X",$E32,"")</f>
      </c>
      <c r="M30" s="80">
        <f>IF($B30="X",ROUND($G30+($H30-$G30)*(($J$12-$I$6)/($J$6-$I$6)),0),"")</f>
      </c>
      <c r="N30" s="80">
        <f>IF($B30="X",ROUND($G30+($H30-$G30)*(($J$12-$I$6)/($J$6-$I$6)),0),"")</f>
      </c>
      <c r="O30" s="80">
        <f>IF($B30="X",$E30,"")</f>
      </c>
      <c r="P30" s="80">
        <f>IF($B30="X",$E32,"")</f>
      </c>
      <c r="Q30" s="80">
        <f>IF($C30="X",ROUND($G30+($H30-$G30)*(($J$12-$I$6)/($J$6-$I$6)),0),"")</f>
      </c>
      <c r="R30" s="80">
        <f>IF($C30="X",ROUND($G30+($H30-$G30)*(($J$12-$I$6)/($J$6-$I$6)),0),"")</f>
      </c>
      <c r="S30" s="80">
        <f>IF($C30="X",$E30,"")</f>
      </c>
      <c r="T30" s="80">
        <f>IF($C30="X",$E32,"")</f>
      </c>
      <c r="U30" s="80">
        <f>IF($D30="X",ROUND($G30+($H30-$G30)*(($J$12-$I$6)/($J$6-$I$6)),0),"")</f>
      </c>
      <c r="V30" s="80">
        <f>IF($D30="X",ROUND($G30+($H30-$G30)*(($J$12-$I$6)/($J$6-$I$6)),0),"")</f>
      </c>
      <c r="W30" s="80">
        <f>IF($D30="X",$E30,"")</f>
      </c>
      <c r="X30" s="80">
        <f>IF($D30="X",$E32,"")</f>
      </c>
    </row>
    <row r="31" spans="1:24" ht="10.5" customHeight="1">
      <c r="A31" s="73">
        <f>IF($G$4=$E30,"",IF($G$4=$E32,"",IF($G$4&gt;=$E30,IF($G$4&lt;=$E32,"X",""),"")))</f>
      </c>
      <c r="B31" s="73">
        <f>IF($G$7=$E30,"",IF($G$7=$E32,"",IF($G$7&gt;=$E30,IF($G$7&lt;=$E32,"X",""),"")))</f>
      </c>
      <c r="C31" s="73">
        <f>IF($G$10=$E30,"",IF($G$10=$E32,"",IF($G$10&gt;=$E30,IF($G$10&lt;=$E32,"X",""),"")))</f>
      </c>
      <c r="D31" s="73">
        <f>IF($G$13=$E30,"",IF($G$13=$E32,"",IF($G$13&gt;=$E30,IF($G$13&lt;=$E32,"X",""),"")))</f>
      </c>
      <c r="I31" s="94">
        <f>IF($A31="X",ROUND($G30+($H30-$G30)*(($J$12-$I$6)/($J$6-$I$6)),0),"")</f>
      </c>
      <c r="J31" s="94">
        <f>IF($A31="X",ROUND($G32+($H32-$G32)*(($J$12-$I$6)/($J$6-$I$6)),0),"")</f>
      </c>
      <c r="K31" s="94">
        <f>IF($A31="X",$E30,"")</f>
      </c>
      <c r="L31" s="94">
        <f>IF($A31="X",$E32,"")</f>
      </c>
      <c r="M31" s="94">
        <f>IF($B31="X",ROUND($G30+($H30-$G30)*(($J$12-$I$6)/($J$6-$I$6)),0),"")</f>
      </c>
      <c r="N31" s="94">
        <f>IF($B31="X",ROUND($G32+($H32-$G32)*(($J$12-$I$6)/($J$6-$I$6)),0),"")</f>
      </c>
      <c r="O31" s="94">
        <f>IF($B31="X",$E30,"")</f>
      </c>
      <c r="P31" s="94">
        <f>IF($B31="X",$E32,"")</f>
      </c>
      <c r="Q31" s="94">
        <f>IF($C31="X",ROUND($G30+($H30-$G30)*(($J$12-$I$6)/($J$6-$I$6)),0),"")</f>
      </c>
      <c r="R31" s="94">
        <f>IF($C31="X",ROUND($G32+($H32-$G32)*(($J$12-$I$6)/($J$6-$I$6)),0),"")</f>
      </c>
      <c r="S31" s="94">
        <f>IF($C31="X",$E30,"")</f>
      </c>
      <c r="T31" s="94">
        <f>IF($C31="X",$E32,"")</f>
      </c>
      <c r="U31" s="94">
        <f>IF($D31="X",ROUND($G30+($H30-$G30)*(($J$12-$I$6)/($J$6-$I$6)),0),"")</f>
      </c>
      <c r="V31" s="94">
        <f>IF($D31="X",ROUND($G32+($H32-$G32)*(($J$12-$I$6)/($J$6-$I$6)),0),"")</f>
      </c>
      <c r="W31" s="94">
        <f>IF($D31="X",$E30,"")</f>
      </c>
      <c r="X31" s="94">
        <f>IF($D31="X",$E32,"")</f>
      </c>
    </row>
    <row r="32" spans="1:24" ht="10.5" customHeight="1">
      <c r="A32" s="80">
        <f>IF($G$4="","",IF($G$4=E32,"X",""))</f>
      </c>
      <c r="B32" s="80">
        <f>IF($G$7="","",IF($G$7=E32,"X",""))</f>
      </c>
      <c r="C32" s="80">
        <f>IF($G$10="","",IF($G$10=E32,"X",""))</f>
      </c>
      <c r="D32" s="80">
        <f>IF($G$13="","",IF($G$13=E32,"X",""))</f>
      </c>
      <c r="E32" s="80">
        <f>IF($F$15="X",'Tafel § 38'!B19,IF($F$16="X",'Tafel § 41'!B19,""))</f>
        <v>6</v>
      </c>
      <c r="F32" s="80"/>
      <c r="G32" s="80">
        <f>IF($F$15="X",'Tafel § 38'!C19,IF($F$16="X",'Tafel § 41'!C19,""))</f>
        <v>21050</v>
      </c>
      <c r="H32" s="80">
        <f>IF($F$15="X",'Tafel § 38'!D19,IF($F$16="X",'Tafel § 41'!D19,""))</f>
        <v>31081</v>
      </c>
      <c r="I32" s="80">
        <f>IF($A32="X",ROUND($G32+($H32-$G32)*(($J$12-$I$6)/($J$6-$I$6)),0),"")</f>
      </c>
      <c r="J32" s="80">
        <f>IF($A32="X",ROUND($G32+($H32-$G32)*(($J$12-$I$6)/($J$6-$I$6)),0),"")</f>
      </c>
      <c r="K32" s="80">
        <f>IF($A32="X",$E32,"")</f>
      </c>
      <c r="L32" s="80">
        <f>IF($A32="X",$E34,"")</f>
      </c>
      <c r="M32" s="80">
        <f>IF($B32="X",ROUND($G32+($H32-$G32)*(($J$12-$I$6)/($J$6-$I$6)),0),"")</f>
      </c>
      <c r="N32" s="80">
        <f>IF($B32="X",ROUND($G32+($H32-$G32)*(($J$12-$I$6)/($J$6-$I$6)),0),"")</f>
      </c>
      <c r="O32" s="80">
        <f>IF($B32="X",$E32,"")</f>
      </c>
      <c r="P32" s="80">
        <f>IF($B32="X",$E34,"")</f>
      </c>
      <c r="Q32" s="80">
        <f>IF($C32="X",ROUND($G32+($H32-$G32)*(($J$12-$I$6)/($J$6-$I$6)),0),"")</f>
      </c>
      <c r="R32" s="80">
        <f>IF($C32="X",ROUND($G32+($H32-$G32)*(($J$12-$I$6)/($J$6-$I$6)),0),"")</f>
      </c>
      <c r="S32" s="80">
        <f>IF($C32="X",$E32,"")</f>
      </c>
      <c r="T32" s="80">
        <f>IF($C32="X",$E34,"")</f>
      </c>
      <c r="U32" s="80">
        <f>IF($D32="X",ROUND($G32+($H32-$G32)*(($J$12-$I$6)/($J$6-$I$6)),0),"")</f>
      </c>
      <c r="V32" s="80">
        <f>IF($D32="X",ROUND($G32+($H32-$G32)*(($J$12-$I$6)/($J$6-$I$6)),0),"")</f>
      </c>
      <c r="W32" s="80">
        <f>IF($D32="X",$E32,"")</f>
      </c>
      <c r="X32" s="80">
        <f>IF($D32="X",$E34,"")</f>
      </c>
    </row>
    <row r="33" spans="1:24" ht="10.5" customHeight="1">
      <c r="A33" s="73">
        <f>IF($G$4=$E32,"",IF($G$4=$E34,"",IF($G$4&gt;=$E32,IF($G$4&lt;=$E34,"X",""),"")))</f>
      </c>
      <c r="B33" s="73">
        <f>IF($G$7=$E32,"",IF($G$7=$E34,"",IF($G$7&gt;=$E32,IF($G$7&lt;=$E34,"X",""),"")))</f>
      </c>
      <c r="C33" s="73">
        <f>IF($G$10=$E32,"",IF($G$10=$E34,"",IF($G$10&gt;=$E32,IF($G$10&lt;=$E34,"X",""),"")))</f>
      </c>
      <c r="D33" s="73">
        <f>IF($G$13=$E32,"",IF($G$13=$E34,"",IF($G$13&gt;=$E32,IF($G$13&lt;=$E34,"X",""),"")))</f>
      </c>
      <c r="I33" s="94">
        <f>IF($A33="X",ROUND($G32+($H32-$G32)*(($J$12-$I$6)/($J$6-$I$6)),0),"")</f>
      </c>
      <c r="J33" s="94">
        <f>IF($A33="X",ROUND($G34+($H34-$G34)*(($J$12-$I$6)/($J$6-$I$6)),0),"")</f>
      </c>
      <c r="K33" s="94">
        <f>IF($A33="X",$E32,"")</f>
      </c>
      <c r="L33" s="94">
        <f>IF($A33="X",$E34,"")</f>
      </c>
      <c r="M33" s="94">
        <f>IF($B33="X",ROUND($G32+($H32-$G32)*(($J$12-$I$6)/($J$6-$I$6)),0),"")</f>
      </c>
      <c r="N33" s="94">
        <f>IF($B33="X",ROUND($G34+($H34-$G34)*(($J$12-$I$6)/($J$6-$I$6)),0),"")</f>
      </c>
      <c r="O33" s="94">
        <f>IF($B33="X",$E32,"")</f>
      </c>
      <c r="P33" s="94">
        <f>IF($B33="X",$E34,"")</f>
      </c>
      <c r="Q33" s="94">
        <f>IF($C33="X",ROUND($G32+($H32-$G32)*(($J$12-$I$6)/($J$6-$I$6)),0),"")</f>
      </c>
      <c r="R33" s="94">
        <f>IF($C33="X",ROUND($G34+($H34-$G34)*(($J$12-$I$6)/($J$6-$I$6)),0),"")</f>
      </c>
      <c r="S33" s="94">
        <f>IF($C33="X",$E32,"")</f>
      </c>
      <c r="T33" s="94">
        <f>IF($C33="X",$E34,"")</f>
      </c>
      <c r="U33" s="94">
        <f>IF($D33="X",ROUND($G32+($H32-$G32)*(($J$12-$I$6)/($J$6-$I$6)),0),"")</f>
      </c>
      <c r="V33" s="94">
        <f>IF($D33="X",ROUND($G34+($H34-$G34)*(($J$12-$I$6)/($J$6-$I$6)),0),"")</f>
      </c>
      <c r="W33" s="94">
        <f>IF($D33="X",$E32,"")</f>
      </c>
      <c r="X33" s="94">
        <f>IF($D33="X",$E34,"")</f>
      </c>
    </row>
    <row r="34" spans="1:24" ht="10.5" customHeight="1">
      <c r="A34" s="80">
        <f>IF($G$4="","",IF($G$4=E34,"X",""))</f>
      </c>
      <c r="B34" s="80">
        <f>IF($G$7="","",IF($G$7=E34,"X",""))</f>
      </c>
      <c r="C34" s="80">
        <f>IF($G$10="","",IF($G$10=E34,"X",""))</f>
      </c>
      <c r="D34" s="80">
        <f>IF($G$13="","",IF($G$13=E34,"X",""))</f>
      </c>
      <c r="E34" s="80">
        <f>IF($F$15="X",'Tafel § 38'!B21,IF($F$16="X",'Tafel § 41'!B21,""))</f>
        <v>7</v>
      </c>
      <c r="F34" s="80"/>
      <c r="G34" s="80">
        <f>IF($F$15="X",'Tafel § 38'!C21,IF($F$16="X",'Tafel § 41'!C21,""))</f>
        <v>23054</v>
      </c>
      <c r="H34" s="80">
        <f>IF($F$15="X",'Tafel § 38'!D21,IF($F$16="X",'Tafel § 41'!D21,""))</f>
        <v>33873</v>
      </c>
      <c r="I34" s="80">
        <f>IF($A34="X",ROUND($G34+($H34-$G34)*(($J$12-$I$6)/($J$6-$I$6)),0),"")</f>
      </c>
      <c r="J34" s="80">
        <f>IF($A34="X",ROUND($G34+($H34-$G34)*(($J$12-$I$6)/($J$6-$I$6)),0),"")</f>
      </c>
      <c r="K34" s="80">
        <f>IF($A34="X",$E34,"")</f>
      </c>
      <c r="L34" s="80">
        <f>IF($A34="X",$E36,"")</f>
      </c>
      <c r="M34" s="80">
        <f>IF($B34="X",ROUND($G34+($H34-$G34)*(($J$12-$I$6)/($J$6-$I$6)),0),"")</f>
      </c>
      <c r="N34" s="80">
        <f>IF($B34="X",ROUND($G34+($H34-$G34)*(($J$12-$I$6)/($J$6-$I$6)),0),"")</f>
      </c>
      <c r="O34" s="80">
        <f>IF($B34="X",$E34,"")</f>
      </c>
      <c r="P34" s="80">
        <f>IF($B34="X",$E36,"")</f>
      </c>
      <c r="Q34" s="80">
        <f>IF($C34="X",ROUND($G34+($H34-$G34)*(($J$12-$I$6)/($J$6-$I$6)),0),"")</f>
      </c>
      <c r="R34" s="80">
        <f>IF($C34="X",ROUND($G34+($H34-$G34)*(($J$12-$I$6)/($J$6-$I$6)),0),"")</f>
      </c>
      <c r="S34" s="80">
        <f>IF($C34="X",$E34,"")</f>
      </c>
      <c r="T34" s="80">
        <f>IF($C34="X",$E36,"")</f>
      </c>
      <c r="U34" s="80">
        <f>IF($D34="X",ROUND($G34+($H34-$G34)*(($J$12-$I$6)/($J$6-$I$6)),0),"")</f>
      </c>
      <c r="V34" s="80">
        <f>IF($D34="X",ROUND($G34+($H34-$G34)*(($J$12-$I$6)/($J$6-$I$6)),0),"")</f>
      </c>
      <c r="W34" s="80">
        <f>IF($D34="X",$E34,"")</f>
      </c>
      <c r="X34" s="80">
        <f>IF($D34="X",$E36,"")</f>
      </c>
    </row>
    <row r="35" spans="1:24" ht="10.5" customHeight="1">
      <c r="A35" s="73">
        <f>IF($G$4=$E34,"",IF($G$4=$E36,"",IF($G$4&gt;=$E34,IF($G$4&lt;=$E36,"X",""),"")))</f>
      </c>
      <c r="B35" s="73">
        <f>IF($G$7=$E34,"",IF($G$7=$E36,"",IF($G$7&gt;=$E34,IF($G$7&lt;=$E36,"X",""),"")))</f>
      </c>
      <c r="C35" s="73">
        <f>IF($G$10=$E34,"",IF($G$10=$E36,"",IF($G$10&gt;=$E34,IF($G$10&lt;=$E36,"X",""),"")))</f>
      </c>
      <c r="D35" s="73">
        <f>IF($G$13=$E34,"",IF($G$13=$E36,"",IF($G$13&gt;=$E34,IF($G$13&lt;=$E36,"X",""),"")))</f>
      </c>
      <c r="I35" s="94">
        <f>IF($A35="X",ROUND($G34+($H34-$G34)*(($J$12-$I$6)/($J$6-$I$6)),0),"")</f>
      </c>
      <c r="J35" s="94">
        <f>IF($A35="X",ROUND($G36+($H36-$G36)*(($J$12-$I$6)/($J$6-$I$6)),0),"")</f>
      </c>
      <c r="K35" s="94">
        <f>IF($A35="X",$E34,"")</f>
      </c>
      <c r="L35" s="94">
        <f>IF($A35="X",$E36,"")</f>
      </c>
      <c r="M35" s="94">
        <f>IF($B35="X",ROUND($G34+($H34-$G34)*(($J$12-$I$6)/($J$6-$I$6)),0),"")</f>
      </c>
      <c r="N35" s="94">
        <f>IF($B35="X",ROUND($G36+($H36-$G36)*(($J$12-$I$6)/($J$6-$I$6)),0),"")</f>
      </c>
      <c r="O35" s="94">
        <f>IF($B35="X",$E34,"")</f>
      </c>
      <c r="P35" s="94">
        <f>IF($B35="X",$E36,"")</f>
      </c>
      <c r="Q35" s="94">
        <f>IF($C35="X",ROUND($G34+($H34-$G34)*(($J$12-$I$6)/($J$6-$I$6)),0),"")</f>
      </c>
      <c r="R35" s="94">
        <f>IF($C35="X",ROUND($G36+($H36-$G36)*(($J$12-$I$6)/($J$6-$I$6)),0),"")</f>
      </c>
      <c r="S35" s="94">
        <f>IF($C35="X",$E34,"")</f>
      </c>
      <c r="T35" s="94">
        <f>IF($C35="X",$E36,"")</f>
      </c>
      <c r="U35" s="94">
        <f>IF($D35="X",ROUND($G34+($H34-$G34)*(($J$12-$I$6)/($J$6-$I$6)),0),"")</f>
      </c>
      <c r="V35" s="94">
        <f>IF($D35="X",ROUND($G36+($H36-$G36)*(($J$12-$I$6)/($J$6-$I$6)),0),"")</f>
      </c>
      <c r="W35" s="94">
        <f>IF($D35="X",$E34,"")</f>
      </c>
      <c r="X35" s="94">
        <f>IF($D35="X",$E36,"")</f>
      </c>
    </row>
    <row r="36" spans="1:24" ht="10.5" customHeight="1">
      <c r="A36" s="80">
        <f>IF($G$4="","",IF($G$4=E36,"X",""))</f>
      </c>
      <c r="B36" s="80">
        <f>IF($G$7="","",IF($G$7=E36,"X",""))</f>
      </c>
      <c r="C36" s="80">
        <f>IF($G$10="","",IF($G$10=E36,"X",""))</f>
      </c>
      <c r="D36" s="80">
        <f>IF($G$13="","",IF($G$13=E36,"X",""))</f>
      </c>
      <c r="E36" s="80">
        <f>IF($F$15="X",'Tafel § 38'!B23,IF($F$16="X",'Tafel § 41'!B23,""))</f>
        <v>8</v>
      </c>
      <c r="F36" s="80"/>
      <c r="G36" s="80">
        <f>IF($F$15="X",'Tafel § 38'!C23,IF($F$16="X",'Tafel § 41'!C23,""))</f>
        <v>25002</v>
      </c>
      <c r="H36" s="80">
        <f>IF($F$15="X",'Tafel § 38'!D23,IF($F$16="X",'Tafel § 41'!D23,""))</f>
        <v>36690</v>
      </c>
      <c r="I36" s="80">
        <f>IF($A36="X",ROUND($G36+($H36-$G36)*(($J$12-$I$6)/($J$6-$I$6)),0),"")</f>
      </c>
      <c r="J36" s="80">
        <f>IF($A36="X",ROUND($G36+($H36-$G36)*(($J$12-$I$6)/($J$6-$I$6)),0),"")</f>
      </c>
      <c r="K36" s="80">
        <f>IF($A36="X",$E36,"")</f>
      </c>
      <c r="L36" s="80">
        <f>IF($A36="X",$E38,"")</f>
      </c>
      <c r="M36" s="80">
        <f>IF($B36="X",ROUND($G36+($H36-$G36)*(($J$12-$I$6)/($J$6-$I$6)),0),"")</f>
      </c>
      <c r="N36" s="80">
        <f>IF($B36="X",ROUND($G36+($H36-$G36)*(($J$12-$I$6)/($J$6-$I$6)),0),"")</f>
      </c>
      <c r="O36" s="80">
        <f>IF($B36="X",$E36,"")</f>
      </c>
      <c r="P36" s="80">
        <f>IF($B36="X",$E38,"")</f>
      </c>
      <c r="Q36" s="80">
        <f>IF($C36="X",ROUND($G36+($H36-$G36)*(($J$12-$I$6)/($J$6-$I$6)),0),"")</f>
      </c>
      <c r="R36" s="80">
        <f>IF($C36="X",ROUND($G36+($H36-$G36)*(($J$12-$I$6)/($J$6-$I$6)),0),"")</f>
      </c>
      <c r="S36" s="80">
        <f>IF($C36="X",$E36,"")</f>
      </c>
      <c r="T36" s="80">
        <f>IF($C36="X",$E38,"")</f>
      </c>
      <c r="U36" s="80">
        <f>IF($D36="X",ROUND($G36+($H36-$G36)*(($J$12-$I$6)/($J$6-$I$6)),0),"")</f>
      </c>
      <c r="V36" s="80">
        <f>IF($D36="X",ROUND($G36+($H36-$G36)*(($J$12-$I$6)/($J$6-$I$6)),0),"")</f>
      </c>
      <c r="W36" s="80">
        <f>IF($D36="X",$E36,"")</f>
      </c>
      <c r="X36" s="80">
        <f>IF($D36="X",$E38,"")</f>
      </c>
    </row>
    <row r="37" spans="1:24" ht="10.5" customHeight="1">
      <c r="A37" s="73">
        <f>IF($G$4=$E36,"",IF($G$4=$E38,"",IF($G$4&gt;=$E36,IF($G$4&lt;=$E38,"X",""),"")))</f>
      </c>
      <c r="B37" s="73">
        <f>IF($G$7=$E36,"",IF($G$7=$E38,"",IF($G$7&gt;=$E36,IF($G$7&lt;=$E38,"X",""),"")))</f>
      </c>
      <c r="C37" s="73">
        <f>IF($G$10=$E36,"",IF($G$10=$E38,"",IF($G$10&gt;=$E36,IF($G$10&lt;=$E38,"X",""),"")))</f>
      </c>
      <c r="D37" s="73">
        <f>IF($G$13=$E36,"",IF($G$13=$E38,"",IF($G$13&gt;=$E36,IF($G$13&lt;=$E38,"X",""),"")))</f>
      </c>
      <c r="I37" s="94">
        <f>IF($A37="X",ROUND($G36+($H36-$G36)*(($J$12-$I$6)/($J$6-$I$6)),0),"")</f>
      </c>
      <c r="J37" s="94">
        <f>IF($A37="X",ROUND($G38+($H38-$G38)*(($J$12-$I$6)/($J$6-$I$6)),0),"")</f>
      </c>
      <c r="K37" s="94">
        <f>IF($A37="X",$E36,"")</f>
      </c>
      <c r="L37" s="94">
        <f>IF($A37="X",$E38,"")</f>
      </c>
      <c r="M37" s="94">
        <f>IF($B37="X",ROUND($G36+($H36-$G36)*(($J$12-$I$6)/($J$6-$I$6)),0),"")</f>
      </c>
      <c r="N37" s="94">
        <f>IF($B37="X",ROUND($G38+($H38-$G38)*(($J$12-$I$6)/($J$6-$I$6)),0),"")</f>
      </c>
      <c r="O37" s="94">
        <f>IF($B37="X",$E36,"")</f>
      </c>
      <c r="P37" s="94">
        <f>IF($B37="X",$E38,"")</f>
      </c>
      <c r="Q37" s="94">
        <f>IF($C37="X",ROUND($G36+($H36-$G36)*(($J$12-$I$6)/($J$6-$I$6)),0),"")</f>
      </c>
      <c r="R37" s="94">
        <f>IF($C37="X",ROUND($G38+($H38-$G38)*(($J$12-$I$6)/($J$6-$I$6)),0),"")</f>
      </c>
      <c r="S37" s="94">
        <f>IF($C37="X",$E36,"")</f>
      </c>
      <c r="T37" s="94">
        <f>IF($C37="X",$E38,"")</f>
      </c>
      <c r="U37" s="94">
        <f>IF($D37="X",ROUND($G36+($H36-$G36)*(($J$12-$I$6)/($J$6-$I$6)),0),"")</f>
      </c>
      <c r="V37" s="94">
        <f>IF($D37="X",ROUND($G38+($H38-$G38)*(($J$12-$I$6)/($J$6-$I$6)),0),"")</f>
      </c>
      <c r="W37" s="94">
        <f>IF($D37="X",$E36,"")</f>
      </c>
      <c r="X37" s="94">
        <f>IF($D37="X",$E38,"")</f>
      </c>
    </row>
    <row r="38" spans="1:24" ht="10.5" customHeight="1">
      <c r="A38" s="80">
        <f>IF($G$4="","",IF($G$4=E38,"X",""))</f>
      </c>
      <c r="B38" s="80">
        <f>IF($G$7="","",IF($G$7=E38,"X",""))</f>
      </c>
      <c r="C38" s="80">
        <f>IF($G$10="","",IF($G$10=E38,"X",""))</f>
      </c>
      <c r="D38" s="80">
        <f>IF($G$13="","",IF($G$13=E38,"X",""))</f>
      </c>
      <c r="E38" s="80">
        <f>IF($F$15="X",'Tafel § 38'!B25,IF($F$16="X",'Tafel § 41'!B25,""))</f>
        <v>9</v>
      </c>
      <c r="F38" s="80"/>
      <c r="G38" s="80">
        <f>IF($F$15="X",'Tafel § 38'!C25,IF($F$16="X",'Tafel § 41'!C25,""))</f>
        <v>26833</v>
      </c>
      <c r="H38" s="80">
        <f>IF($F$15="X",'Tafel § 38'!D25,IF($F$16="X",'Tafel § 41'!D25,""))</f>
        <v>39308</v>
      </c>
      <c r="I38" s="80">
        <f>IF($A38="X",ROUND($G38+($H38-$G38)*(($J$12-$I$6)/($J$6-$I$6)),0),"")</f>
      </c>
      <c r="J38" s="80">
        <f>IF($A38="X",ROUND($G38+($H38-$G38)*(($J$12-$I$6)/($J$6-$I$6)),0),"")</f>
      </c>
      <c r="K38" s="80">
        <f>IF($A38="X",$E38,"")</f>
      </c>
      <c r="L38" s="80">
        <f>IF($A38="X",$E40,"")</f>
      </c>
      <c r="M38" s="80">
        <f>IF($B38="X",ROUND($G38+($H38-$G38)*(($J$12-$I$6)/($J$6-$I$6)),0),"")</f>
      </c>
      <c r="N38" s="80">
        <f>IF($B38="X",ROUND($G38+($H38-$G38)*(($J$12-$I$6)/($J$6-$I$6)),0),"")</f>
      </c>
      <c r="O38" s="80">
        <f>IF($B38="X",$E38,"")</f>
      </c>
      <c r="P38" s="80">
        <f>IF($B38="X",$E40,"")</f>
      </c>
      <c r="Q38" s="80">
        <f>IF($C38="X",ROUND($G38+($H38-$G38)*(($J$12-$I$6)/($J$6-$I$6)),0),"")</f>
      </c>
      <c r="R38" s="80">
        <f>IF($C38="X",ROUND($G38+($H38-$G38)*(($J$12-$I$6)/($J$6-$I$6)),0),"")</f>
      </c>
      <c r="S38" s="80">
        <f>IF($C38="X",$E38,"")</f>
      </c>
      <c r="T38" s="80">
        <f>IF($C38="X",$E40,"")</f>
      </c>
      <c r="U38" s="80">
        <f>IF($D38="X",ROUND($G38+($H38-$G38)*(($J$12-$I$6)/($J$6-$I$6)),0),"")</f>
      </c>
      <c r="V38" s="80">
        <f>IF($D38="X",ROUND($G38+($H38-$G38)*(($J$12-$I$6)/($J$6-$I$6)),0),"")</f>
      </c>
      <c r="W38" s="80">
        <f>IF($D38="X",$E38,"")</f>
      </c>
      <c r="X38" s="80">
        <f>IF($D38="X",$E40,"")</f>
      </c>
    </row>
    <row r="39" spans="1:24" ht="10.5" customHeight="1">
      <c r="A39" s="73">
        <f>IF($G$4=$E38,"",IF($G$4=$E40,"",IF($G$4&gt;=$E38,IF($G$4&lt;=$E40,"X",""),"")))</f>
      </c>
      <c r="B39" s="73">
        <f>IF($G$7=$E38,"",IF($G$7=$E40,"",IF($G$7&gt;=$E38,IF($G$7&lt;=$E40,"X",""),"")))</f>
      </c>
      <c r="C39" s="73">
        <f>IF($G$10=$E38,"",IF($G$10=$E40,"",IF($G$10&gt;=$E38,IF($G$10&lt;=$E40,"X",""),"")))</f>
      </c>
      <c r="D39" s="73">
        <f>IF($G$13=$E38,"",IF($G$13=$E40,"",IF($G$13&gt;=$E38,IF($G$13&lt;=$E40,"X",""),"")))</f>
      </c>
      <c r="I39" s="94">
        <f>IF($A39="X",ROUND($G38+($H38-$G38)*(($J$12-$I$6)/($J$6-$I$6)),0),"")</f>
      </c>
      <c r="J39" s="94">
        <f>IF($A39="X",ROUND($G40+($H40-$G40)*(($J$12-$I$6)/($J$6-$I$6)),0),"")</f>
      </c>
      <c r="K39" s="94">
        <f>IF($A39="X",$E38,"")</f>
      </c>
      <c r="L39" s="94">
        <f>IF($A39="X",$E40,"")</f>
      </c>
      <c r="M39" s="94">
        <f>IF($B39="X",ROUND($G38+($H38-$G38)*(($J$12-$I$6)/($J$6-$I$6)),0),"")</f>
      </c>
      <c r="N39" s="94">
        <f>IF($B39="X",ROUND($G40+($H40-$G40)*(($J$12-$I$6)/($J$6-$I$6)),0),"")</f>
      </c>
      <c r="O39" s="94">
        <f>IF($B39="X",$E38,"")</f>
      </c>
      <c r="P39" s="94">
        <f>IF($B39="X",$E40,"")</f>
      </c>
      <c r="Q39" s="94">
        <f>IF($C39="X",ROUND($G38+($H38-$G38)*(($J$12-$I$6)/($J$6-$I$6)),0),"")</f>
      </c>
      <c r="R39" s="94">
        <f>IF($C39="X",ROUND($G40+($H40-$G40)*(($J$12-$I$6)/($J$6-$I$6)),0),"")</f>
      </c>
      <c r="S39" s="94">
        <f>IF($C39="X",$E38,"")</f>
      </c>
      <c r="T39" s="94">
        <f>IF($C39="X",$E40,"")</f>
      </c>
      <c r="U39" s="94">
        <f>IF($D39="X",ROUND($G38+($H38-$G38)*(($J$12-$I$6)/($J$6-$I$6)),0),"")</f>
      </c>
      <c r="V39" s="94">
        <f>IF($D39="X",ROUND($G40+($H40-$G40)*(($J$12-$I$6)/($J$6-$I$6)),0),"")</f>
      </c>
      <c r="W39" s="94">
        <f>IF($D39="X",$E38,"")</f>
      </c>
      <c r="X39" s="94">
        <f>IF($D39="X",$E40,"")</f>
      </c>
    </row>
    <row r="40" spans="1:24" ht="10.5" customHeight="1">
      <c r="A40" s="80">
        <f>IF($G$4="","",IF($G$4=E40,"X",""))</f>
      </c>
      <c r="B40" s="80">
        <f>IF($G$7="","",IF($G$7=E40,"X",""))</f>
      </c>
      <c r="C40" s="80">
        <f>IF($G$10="","",IF($G$10=E40,"X",""))</f>
      </c>
      <c r="D40" s="80">
        <f>IF($G$13="","",IF($G$13=E40,"X",""))</f>
      </c>
      <c r="E40" s="80">
        <f>IF($F$15="X",'Tafel § 38'!B27,IF($F$16="X",'Tafel § 41'!B27,""))</f>
        <v>10</v>
      </c>
      <c r="F40" s="80"/>
      <c r="G40" s="80">
        <f>IF($F$15="X",'Tafel § 38'!C27,IF($F$16="X",'Tafel § 41'!C27,""))</f>
        <v>28653</v>
      </c>
      <c r="H40" s="80">
        <f>IF($F$15="X",'Tafel § 38'!D27,IF($F$16="X",'Tafel § 41'!D27,""))</f>
        <v>41931</v>
      </c>
      <c r="I40" s="80">
        <f>IF($A40="X",ROUND($G40+($H40-$G40)*(($J$12-$I$6)/($J$6-$I$6)),0),"")</f>
      </c>
      <c r="J40" s="80">
        <f>IF($A40="X",ROUND($G40+($H40-$G40)*(($J$12-$I$6)/($J$6-$I$6)),0),"")</f>
      </c>
      <c r="K40" s="80">
        <f>IF($A40="X",$E40,"")</f>
      </c>
      <c r="L40" s="80">
        <f>IF($A40="X",$E42,"")</f>
      </c>
      <c r="M40" s="80">
        <f>IF($B40="X",ROUND($G40+($H40-$G40)*(($J$12-$I$6)/($J$6-$I$6)),0),"")</f>
      </c>
      <c r="N40" s="80">
        <f>IF($B40="X",ROUND($G40+($H40-$G40)*(($J$12-$I$6)/($J$6-$I$6)),0),"")</f>
      </c>
      <c r="O40" s="80">
        <f>IF($B40="X",$E40,"")</f>
      </c>
      <c r="P40" s="80">
        <f>IF($B40="X",$E42,"")</f>
      </c>
      <c r="Q40" s="80">
        <f>IF($C40="X",ROUND($G40+($H40-$G40)*(($J$12-$I$6)/($J$6-$I$6)),0),"")</f>
      </c>
      <c r="R40" s="80">
        <f>IF($C40="X",ROUND($G40+($H40-$G40)*(($J$12-$I$6)/($J$6-$I$6)),0),"")</f>
      </c>
      <c r="S40" s="80">
        <f>IF($C40="X",$E40,"")</f>
      </c>
      <c r="T40" s="80">
        <f>IF($C40="X",$E42,"")</f>
      </c>
      <c r="U40" s="80">
        <f>IF($D40="X",ROUND($G40+($H40-$G40)*(($J$12-$I$6)/($J$6-$I$6)),0),"")</f>
      </c>
      <c r="V40" s="80">
        <f>IF($D40="X",ROUND($G40+($H40-$G40)*(($J$12-$I$6)/($J$6-$I$6)),0),"")</f>
      </c>
      <c r="W40" s="80">
        <f>IF($D40="X",$E40,"")</f>
      </c>
      <c r="X40" s="80">
        <f>IF($D40="X",$E42,"")</f>
      </c>
    </row>
    <row r="41" spans="1:24" ht="10.5" customHeight="1">
      <c r="A41" s="73">
        <f>IF($G$4=$E40,"",IF($G$4=$E42,"",IF($G$4&gt;=$E40,IF($G$4&lt;=$E42,"X",""),"")))</f>
      </c>
      <c r="B41" s="73">
        <f>IF($G$7=$E40,"",IF($G$7=$E42,"",IF($G$7&gt;=$E40,IF($G$7&lt;=$E42,"X",""),"")))</f>
      </c>
      <c r="C41" s="73">
        <f>IF($G$10=$E40,"",IF($G$10=$E42,"",IF($G$10&gt;=$E40,IF($G$10&lt;=$E42,"X",""),"")))</f>
      </c>
      <c r="D41" s="73">
        <f>IF($G$13=$E40,"",IF($G$13=$E42,"",IF($G$13&gt;=$E40,IF($G$13&lt;=$E42,"X",""),"")))</f>
      </c>
      <c r="I41" s="94">
        <f>IF($A41="X",ROUND($G40+($H40-$G40)*(($J$12-$I$6)/($J$6-$I$6)),0),"")</f>
      </c>
      <c r="J41" s="94">
        <f>IF($A41="X",ROUND($G42+($H42-$G42)*(($J$12-$I$6)/($J$6-$I$6)),0),"")</f>
      </c>
      <c r="K41" s="94">
        <f>IF($A41="X",$E40,"")</f>
      </c>
      <c r="L41" s="94">
        <f>IF($A41="X",$E42,"")</f>
      </c>
      <c r="M41" s="94">
        <f>IF($B41="X",ROUND($G40+($H40-$G40)*(($J$12-$I$6)/($J$6-$I$6)),0),"")</f>
      </c>
      <c r="N41" s="94">
        <f>IF($B41="X",ROUND($G42+($H42-$G42)*(($J$12-$I$6)/($J$6-$I$6)),0),"")</f>
      </c>
      <c r="O41" s="94">
        <f>IF($B41="X",$E40,"")</f>
      </c>
      <c r="P41" s="94">
        <f>IF($B41="X",$E42,"")</f>
      </c>
      <c r="Q41" s="94">
        <f>IF($C41="X",ROUND($G40+($H40-$G40)*(($J$12-$I$6)/($J$6-$I$6)),0),"")</f>
      </c>
      <c r="R41" s="94">
        <f>IF($C41="X",ROUND($G42+($H42-$G42)*(($J$12-$I$6)/($J$6-$I$6)),0),"")</f>
      </c>
      <c r="S41" s="94">
        <f>IF($C41="X",$E40,"")</f>
      </c>
      <c r="T41" s="94">
        <f>IF($C41="X",$E42,"")</f>
      </c>
      <c r="U41" s="94">
        <f>IF($D41="X",ROUND($G40+($H40-$G40)*(($J$12-$I$6)/($J$6-$I$6)),0),"")</f>
      </c>
      <c r="V41" s="94">
        <f>IF($D41="X",ROUND($G42+($H42-$G42)*(($J$12-$I$6)/($J$6-$I$6)),0),"")</f>
      </c>
      <c r="W41" s="94">
        <f>IF($D41="X",$E40,"")</f>
      </c>
      <c r="X41" s="94">
        <f>IF($D41="X",$E42,"")</f>
      </c>
    </row>
    <row r="42" spans="1:24" ht="10.5" customHeight="1">
      <c r="A42" s="80">
        <f>IF($G$4="","",IF($G$4=E42,"X",""))</f>
      </c>
      <c r="B42" s="80">
        <f>IF($G$7="","",IF($G$7=E42,"X",""))</f>
      </c>
      <c r="C42" s="80">
        <f>IF($G$10="","",IF($G$10=E42,"X",""))</f>
      </c>
      <c r="D42" s="80">
        <f>IF($G$13="","",IF($G$13=E42,"X",""))</f>
      </c>
      <c r="E42" s="80">
        <f>IF($F$15="X",'Tafel § 38'!B29,IF($F$16="X",'Tafel § 41'!B29,""))</f>
        <v>11</v>
      </c>
      <c r="F42" s="80"/>
      <c r="G42" s="80">
        <f>IF($F$15="X",'Tafel § 38'!C29,IF($F$16="X",'Tafel § 41'!C29,""))</f>
        <v>30376</v>
      </c>
      <c r="H42" s="80">
        <f>IF($F$15="X",'Tafel § 38'!D29,IF($F$16="X",'Tafel § 41'!D29,""))</f>
        <v>44380</v>
      </c>
      <c r="I42" s="80">
        <f>IF($A42="X",ROUND($G42+($H42-$G42)*(($J$12-$I$6)/($J$6-$I$6)),0),"")</f>
      </c>
      <c r="J42" s="80">
        <f>IF($A42="X",ROUND($G42+($H42-$G42)*(($J$12-$I$6)/($J$6-$I$6)),0),"")</f>
      </c>
      <c r="K42" s="80">
        <f>IF($A42="X",$E42,"")</f>
      </c>
      <c r="L42" s="80">
        <f>IF($A42="X",$E44,"")</f>
      </c>
      <c r="M42" s="80">
        <f>IF($B42="X",ROUND($G42+($H42-$G42)*(($J$12-$I$6)/($J$6-$I$6)),0),"")</f>
      </c>
      <c r="N42" s="80">
        <f>IF($B42="X",ROUND($G42+($H42-$G42)*(($J$12-$I$6)/($J$6-$I$6)),0),"")</f>
      </c>
      <c r="O42" s="80">
        <f>IF($B42="X",$E42,"")</f>
      </c>
      <c r="P42" s="80">
        <f>IF($B42="X",$E44,"")</f>
      </c>
      <c r="Q42" s="80">
        <f>IF($C42="X",ROUND($G42+($H42-$G42)*(($J$12-$I$6)/($J$6-$I$6)),0),"")</f>
      </c>
      <c r="R42" s="80">
        <f>IF($C42="X",ROUND($G42+($H42-$G42)*(($J$12-$I$6)/($J$6-$I$6)),0),"")</f>
      </c>
      <c r="S42" s="80">
        <f>IF($C42="X",$E42,"")</f>
      </c>
      <c r="T42" s="80">
        <f>IF($C42="X",$E44,"")</f>
      </c>
      <c r="U42" s="80">
        <f>IF($D42="X",ROUND($G42+($H42-$G42)*(($J$12-$I$6)/($J$6-$I$6)),0),"")</f>
      </c>
      <c r="V42" s="80">
        <f>IF($D42="X",ROUND($G42+($H42-$G42)*(($J$12-$I$6)/($J$6-$I$6)),0),"")</f>
      </c>
      <c r="W42" s="80">
        <f>IF($D42="X",$E42,"")</f>
      </c>
      <c r="X42" s="80">
        <f>IF($D42="X",$E44,"")</f>
      </c>
    </row>
    <row r="43" spans="1:24" ht="10.5" customHeight="1">
      <c r="A43" s="73">
        <f>IF($G$4=$E42,"",IF($G$4=$E44,"",IF($G$4&gt;=$E42,IF($G$4&lt;=$E44,"X",""),"")))</f>
      </c>
      <c r="B43" s="73">
        <f>IF($G$7=$E42,"",IF($G$7=$E44,"",IF($G$7&gt;=$E42,IF($G$7&lt;=$E44,"X",""),"")))</f>
      </c>
      <c r="C43" s="73">
        <f>IF($G$10=$E42,"",IF($G$10=$E44,"",IF($G$10&gt;=$E42,IF($G$10&lt;=$E44,"X",""),"")))</f>
      </c>
      <c r="D43" s="73">
        <f>IF($G$13=$E42,"",IF($G$13=$E44,"",IF($G$13&gt;=$E42,IF($G$13&lt;=$E44,"X",""),"")))</f>
      </c>
      <c r="I43" s="94">
        <f>IF($A43="X",ROUND($G42+($H42-$G42)*(($J$12-$I$6)/($J$6-$I$6)),0),"")</f>
      </c>
      <c r="J43" s="94">
        <f>IF($A43="X",ROUND($G44+($H44-$G44)*(($J$12-$I$6)/($J$6-$I$6)),0),"")</f>
      </c>
      <c r="K43" s="94">
        <f>IF($A43="X",$E42,"")</f>
      </c>
      <c r="L43" s="94">
        <f>IF($A43="X",$E44,"")</f>
      </c>
      <c r="M43" s="94">
        <f>IF($B43="X",ROUND($G42+($H42-$G42)*(($J$12-$I$6)/($J$6-$I$6)),0),"")</f>
      </c>
      <c r="N43" s="94">
        <f>IF($B43="X",ROUND($G44+($H44-$G44)*(($J$12-$I$6)/($J$6-$I$6)),0),"")</f>
      </c>
      <c r="O43" s="94">
        <f>IF($B43="X",$E42,"")</f>
      </c>
      <c r="P43" s="94">
        <f>IF($B43="X",$E44,"")</f>
      </c>
      <c r="Q43" s="94">
        <f>IF($C43="X",ROUND($G42+($H42-$G42)*(($J$12-$I$6)/($J$6-$I$6)),0),"")</f>
      </c>
      <c r="R43" s="94">
        <f>IF($C43="X",ROUND($G44+($H44-$G44)*(($J$12-$I$6)/($J$6-$I$6)),0),"")</f>
      </c>
      <c r="S43" s="94">
        <f>IF($C43="X",$E42,"")</f>
      </c>
      <c r="T43" s="94">
        <f>IF($C43="X",$E44,"")</f>
      </c>
      <c r="U43" s="94">
        <f>IF($D43="X",ROUND($G42+($H42-$G42)*(($J$12-$I$6)/($J$6-$I$6)),0),"")</f>
      </c>
      <c r="V43" s="94">
        <f>IF($D43="X",ROUND($G44+($H44-$G44)*(($J$12-$I$6)/($J$6-$I$6)),0),"")</f>
      </c>
      <c r="W43" s="94">
        <f>IF($D43="X",$E42,"")</f>
      </c>
      <c r="X43" s="94">
        <f>IF($D43="X",$E44,"")</f>
      </c>
    </row>
    <row r="44" spans="1:24" ht="10.5" customHeight="1">
      <c r="A44" s="80">
        <f>IF($G$4="","",IF($G$4=E44,"X",""))</f>
      </c>
      <c r="B44" s="80">
        <f>IF($G$7="","",IF($G$7=E44,"X",""))</f>
      </c>
      <c r="C44" s="80">
        <f>IF($G$10="","",IF($G$10=E44,"X",""))</f>
      </c>
      <c r="D44" s="80">
        <f>IF($G$13="","",IF($G$13=E44,"X",""))</f>
      </c>
      <c r="E44" s="80">
        <f>IF($F$15="X",'Tafel § 38'!B31,IF($F$16="X",'Tafel § 41'!B31,""))</f>
        <v>12</v>
      </c>
      <c r="F44" s="80"/>
      <c r="G44" s="80">
        <f>IF($F$15="X",'Tafel § 38'!C31,IF($F$16="X",'Tafel § 41'!C31,""))</f>
        <v>31894</v>
      </c>
      <c r="H44" s="80">
        <f>IF($F$15="X",'Tafel § 38'!D31,IF($F$16="X",'Tafel § 41'!D31,""))</f>
        <v>46502</v>
      </c>
      <c r="I44" s="80">
        <f>IF($A44="X",ROUND($G44+($H44-$G44)*(($J$12-$I$6)/($J$6-$I$6)),0),"")</f>
      </c>
      <c r="J44" s="80">
        <f>IF($A44="X",ROUND($G44+($H44-$G44)*(($J$12-$I$6)/($J$6-$I$6)),0),"")</f>
      </c>
      <c r="K44" s="80">
        <f>IF($A44="X",$E44,"")</f>
      </c>
      <c r="L44" s="80">
        <f>IF($A44="X",$E46,"")</f>
      </c>
      <c r="M44" s="80">
        <f>IF($B44="X",ROUND($G44+($H44-$G44)*(($J$12-$I$6)/($J$6-$I$6)),0),"")</f>
      </c>
      <c r="N44" s="80">
        <f>IF($B44="X",ROUND($G44+($H44-$G44)*(($J$12-$I$6)/($J$6-$I$6)),0),"")</f>
      </c>
      <c r="O44" s="80">
        <f>IF($B44="X",$E44,"")</f>
      </c>
      <c r="P44" s="80">
        <f>IF($B44="X",$E46,"")</f>
      </c>
      <c r="Q44" s="80">
        <f>IF($C44="X",ROUND($G44+($H44-$G44)*(($J$12-$I$6)/($J$6-$I$6)),0),"")</f>
      </c>
      <c r="R44" s="80">
        <f>IF($C44="X",ROUND($G44+($H44-$G44)*(($J$12-$I$6)/($J$6-$I$6)),0),"")</f>
      </c>
      <c r="S44" s="80">
        <f>IF($C44="X",$E44,"")</f>
      </c>
      <c r="T44" s="80">
        <f>IF($C44="X",$E46,"")</f>
      </c>
      <c r="U44" s="80">
        <f>IF($D44="X",ROUND($G44+($H44-$G44)*(($J$12-$I$6)/($J$6-$I$6)),0),"")</f>
      </c>
      <c r="V44" s="80">
        <f>IF($D44="X",ROUND($G44+($H44-$G44)*(($J$12-$I$6)/($J$6-$I$6)),0),"")</f>
      </c>
      <c r="W44" s="80">
        <f>IF($D44="X",$E44,"")</f>
      </c>
      <c r="X44" s="80">
        <f>IF($D44="X",$E46,"")</f>
      </c>
    </row>
    <row r="45" spans="1:24" ht="10.5" customHeight="1">
      <c r="A45" s="73">
        <f>IF($G$4=$E44,"",IF($G$4=$E46,"",IF($G$4&gt;=$E44,IF($G$4&lt;=$E46,"X",""),"")))</f>
      </c>
      <c r="B45" s="73">
        <f>IF($G$7=$E44,"",IF($G$7=$E46,"",IF($G$7&gt;=$E44,IF($G$7&lt;=$E46,"X",""),"")))</f>
      </c>
      <c r="C45" s="73">
        <f>IF($G$10=$E44,"",IF($G$10=$E46,"",IF($G$10&gt;=$E44,IF($G$10&lt;=$E46,"X",""),"")))</f>
      </c>
      <c r="D45" s="73">
        <f>IF($G$13=$E44,"",IF($G$13=$E46,"",IF($G$13&gt;=$E44,IF($G$13&lt;=$E46,"X",""),"")))</f>
      </c>
      <c r="I45" s="94">
        <f>IF($A45="X",ROUND($G44+($H44-$G44)*(($J$12-$I$6)/($J$6-$I$6)),0),"")</f>
      </c>
      <c r="J45" s="94">
        <f>IF($A45="X",ROUND($G46+($H46-$G46)*(($J$12-$I$6)/($J$6-$I$6)),0),"")</f>
      </c>
      <c r="K45" s="94">
        <f>IF($A45="X",$E44,"")</f>
      </c>
      <c r="L45" s="94">
        <f>IF($A45="X",$E46,"")</f>
      </c>
      <c r="M45" s="94">
        <f>IF($B45="X",ROUND($G44+($H44-$G44)*(($J$12-$I$6)/($J$6-$I$6)),0),"")</f>
      </c>
      <c r="N45" s="94">
        <f>IF($B45="X",ROUND($G46+($H46-$G46)*(($J$12-$I$6)/($J$6-$I$6)),0),"")</f>
      </c>
      <c r="O45" s="94">
        <f>IF($B45="X",$E44,"")</f>
      </c>
      <c r="P45" s="94">
        <f>IF($B45="X",$E46,"")</f>
      </c>
      <c r="Q45" s="94">
        <f>IF($C45="X",ROUND($G44+($H44-$G44)*(($J$12-$I$6)/($J$6-$I$6)),0),"")</f>
      </c>
      <c r="R45" s="94">
        <f>IF($C45="X",ROUND($G46+($H46-$G46)*(($J$12-$I$6)/($J$6-$I$6)),0),"")</f>
      </c>
      <c r="S45" s="94">
        <f>IF($C45="X",$E44,"")</f>
      </c>
      <c r="T45" s="94">
        <f>IF($C45="X",$E46,"")</f>
      </c>
      <c r="U45" s="94">
        <f>IF($D45="X",ROUND($G44+($H44-$G44)*(($J$12-$I$6)/($J$6-$I$6)),0),"")</f>
      </c>
      <c r="V45" s="94">
        <f>IF($D45="X",ROUND($G46+($H46-$G46)*(($J$12-$I$6)/($J$6-$I$6)),0),"")</f>
      </c>
      <c r="W45" s="94">
        <f>IF($D45="X",$E44,"")</f>
      </c>
      <c r="X45" s="94">
        <f>IF($D45="X",$E46,"")</f>
      </c>
    </row>
    <row r="46" spans="1:24" ht="10.5" customHeight="1">
      <c r="A46" s="80">
        <f>IF($G$4="","",IF($G$4=E46,"X",""))</f>
      </c>
      <c r="B46" s="80">
        <f>IF($G$7="","",IF($G$7=E46,"X",""))</f>
      </c>
      <c r="C46" s="80">
        <f>IF($G$10="","",IF($G$10=E46,"X",""))</f>
      </c>
      <c r="D46" s="80">
        <f>IF($G$13="","",IF($G$13=E46,"X",""))</f>
      </c>
      <c r="E46" s="80">
        <f>IF($F$15="X",'Tafel § 38'!B33,IF($F$16="X",'Tafel § 41'!B33,""))</f>
        <v>13</v>
      </c>
      <c r="F46" s="80"/>
      <c r="G46" s="80">
        <f>IF($F$15="X",'Tafel § 38'!C33,IF($F$16="X",'Tafel § 41'!C33,""))</f>
        <v>33413</v>
      </c>
      <c r="H46" s="80">
        <f>IF($F$15="X",'Tafel § 38'!D33,IF($F$16="X",'Tafel § 41'!D33,""))</f>
        <v>48619</v>
      </c>
      <c r="I46" s="80">
        <f>IF($A46="X",ROUND($G46+($H46-$G46)*(($J$12-$I$6)/($J$6-$I$6)),0),"")</f>
      </c>
      <c r="J46" s="80">
        <f>IF($A46="X",ROUND($G46+($H46-$G46)*(($J$12-$I$6)/($J$6-$I$6)),0),"")</f>
      </c>
      <c r="K46" s="80">
        <f>IF($A46="X",$E46,"")</f>
      </c>
      <c r="L46" s="80">
        <f>IF($A46="X",$E48,"")</f>
      </c>
      <c r="M46" s="80">
        <f>IF($B46="X",ROUND($G46+($H46-$G46)*(($J$12-$I$6)/($J$6-$I$6)),0),"")</f>
      </c>
      <c r="N46" s="80">
        <f>IF($B46="X",ROUND($G46+($H46-$G46)*(($J$12-$I$6)/($J$6-$I$6)),0),"")</f>
      </c>
      <c r="O46" s="80">
        <f>IF($B46="X",$E46,"")</f>
      </c>
      <c r="P46" s="80">
        <f>IF($B46="X",$E48,"")</f>
      </c>
      <c r="Q46" s="80">
        <f>IF($C46="X",ROUND($G46+($H46-$G46)*(($J$12-$I$6)/($J$6-$I$6)),0),"")</f>
      </c>
      <c r="R46" s="80">
        <f>IF($C46="X",ROUND($G46+($H46-$G46)*(($J$12-$I$6)/($J$6-$I$6)),0),"")</f>
      </c>
      <c r="S46" s="80">
        <f>IF($C46="X",$E46,"")</f>
      </c>
      <c r="T46" s="80">
        <f>IF($C46="X",$E48,"")</f>
      </c>
      <c r="U46" s="80">
        <f>IF($D46="X",ROUND($G46+($H46-$G46)*(($J$12-$I$6)/($J$6-$I$6)),0),"")</f>
      </c>
      <c r="V46" s="80">
        <f>IF($D46="X",ROUND($G46+($H46-$G46)*(($J$12-$I$6)/($J$6-$I$6)),0),"")</f>
      </c>
      <c r="W46" s="80">
        <f>IF($D46="X",$E46,"")</f>
      </c>
      <c r="X46" s="80">
        <f>IF($D46="X",$E48,"")</f>
      </c>
    </row>
    <row r="47" spans="1:24" ht="10.5" customHeight="1">
      <c r="A47" s="73">
        <f>IF($G$4=$E46,"",IF($G$4=$E48,"",IF($G$4&gt;=$E46,IF($G$4&lt;=$E48,"X",""),"")))</f>
      </c>
      <c r="B47" s="73">
        <f>IF($G$7=$E46,"",IF($G$7=$E48,"",IF($G$7&gt;=$E46,IF($G$7&lt;=$E48,"X",""),"")))</f>
      </c>
      <c r="C47" s="73">
        <f>IF($G$10=$E46,"",IF($G$10=$E48,"",IF($G$10&gt;=$E46,IF($G$10&lt;=$E48,"X",""),"")))</f>
      </c>
      <c r="D47" s="73">
        <f>IF($G$13=$E46,"",IF($G$13=$E48,"",IF($G$13&gt;=$E46,IF($G$13&lt;=$E48,"X",""),"")))</f>
      </c>
      <c r="I47" s="94">
        <f>IF($A47="X",ROUND($G46+($H46-$G46)*(($J$12-$I$6)/($J$6-$I$6)),0),"")</f>
      </c>
      <c r="J47" s="94">
        <f>IF($A47="X",ROUND($G48+($H48-$G48)*(($J$12-$I$6)/($J$6-$I$6)),0),"")</f>
      </c>
      <c r="K47" s="94">
        <f>IF($A47="X",$E46,"")</f>
      </c>
      <c r="L47" s="94">
        <f>IF($A47="X",$E48,"")</f>
      </c>
      <c r="M47" s="94">
        <f>IF($B47="X",ROUND($G46+($H46-$G46)*(($J$12-$I$6)/($J$6-$I$6)),0),"")</f>
      </c>
      <c r="N47" s="94">
        <f>IF($B47="X",ROUND($G48+($H48-$G48)*(($J$12-$I$6)/($J$6-$I$6)),0),"")</f>
      </c>
      <c r="O47" s="94">
        <f>IF($B47="X",$E46,"")</f>
      </c>
      <c r="P47" s="94">
        <f>IF($B47="X",$E48,"")</f>
      </c>
      <c r="Q47" s="94">
        <f>IF($C47="X",ROUND($G46+($H46-$G46)*(($J$12-$I$6)/($J$6-$I$6)),0),"")</f>
      </c>
      <c r="R47" s="94">
        <f>IF($C47="X",ROUND($G48+($H48-$G48)*(($J$12-$I$6)/($J$6-$I$6)),0),"")</f>
      </c>
      <c r="S47" s="94">
        <f>IF($C47="X",$E46,"")</f>
      </c>
      <c r="T47" s="94">
        <f>IF($C47="X",$E48,"")</f>
      </c>
      <c r="U47" s="94">
        <f>IF($D47="X",ROUND($G46+($H46-$G46)*(($J$12-$I$6)/($J$6-$I$6)),0),"")</f>
      </c>
      <c r="V47" s="94">
        <f>IF($D47="X",ROUND($G48+($H48-$G48)*(($J$12-$I$6)/($J$6-$I$6)),0),"")</f>
      </c>
      <c r="W47" s="94">
        <f>IF($D47="X",$E46,"")</f>
      </c>
      <c r="X47" s="94">
        <f>IF($D47="X",$E48,"")</f>
      </c>
    </row>
    <row r="48" spans="1:24" ht="10.5" customHeight="1">
      <c r="A48" s="80">
        <f>IF($G$4="","",IF($G$4=E48,"X",""))</f>
      </c>
      <c r="B48" s="80">
        <f>IF($G$7="","",IF($G$7=E48,"X",""))</f>
      </c>
      <c r="C48" s="80">
        <f>IF($G$10="","",IF($G$10=E48,"X",""))</f>
      </c>
      <c r="D48" s="80">
        <f>IF($G$13="","",IF($G$13=E48,"X",""))</f>
      </c>
      <c r="E48" s="80">
        <f>IF($F$15="X",'Tafel § 38'!B35,IF($F$16="X",'Tafel § 41'!B35,""))</f>
        <v>14</v>
      </c>
      <c r="F48" s="80"/>
      <c r="G48" s="80">
        <f>IF($F$15="X",'Tafel § 38'!C35,IF($F$16="X",'Tafel § 41'!C35,""))</f>
        <v>35202</v>
      </c>
      <c r="H48" s="80">
        <f>IF($F$15="X",'Tafel § 38'!D35,IF($F$16="X",'Tafel § 41'!D35,""))</f>
        <v>51216</v>
      </c>
      <c r="I48" s="80">
        <f>IF($A48="X",ROUND($G48+($H48-$G48)*(($J$12-$I$6)/($J$6-$I$6)),0),"")</f>
      </c>
      <c r="J48" s="80">
        <f>IF($A48="X",ROUND($G48+($H48-$G48)*(($J$12-$I$6)/($J$6-$I$6)),0),"")</f>
      </c>
      <c r="K48" s="80">
        <f>IF($A48="X",$E48,"")</f>
      </c>
      <c r="L48" s="80">
        <f>IF($A48="X",$E50,"")</f>
      </c>
      <c r="M48" s="80">
        <f>IF($B48="X",ROUND($G48+($H48-$G48)*(($J$12-$I$6)/($J$6-$I$6)),0),"")</f>
      </c>
      <c r="N48" s="80">
        <f>IF($B48="X",ROUND($G48+($H48-$G48)*(($J$12-$I$6)/($J$6-$I$6)),0),"")</f>
      </c>
      <c r="O48" s="80">
        <f>IF($B48="X",$E48,"")</f>
      </c>
      <c r="P48" s="80">
        <f>IF($B48="X",$E50,"")</f>
      </c>
      <c r="Q48" s="80">
        <f>IF($C48="X",ROUND($G48+($H48-$G48)*(($J$12-$I$6)/($J$6-$I$6)),0),"")</f>
      </c>
      <c r="R48" s="80">
        <f>IF($C48="X",ROUND($G48+($H48-$G48)*(($J$12-$I$6)/($J$6-$I$6)),0),"")</f>
      </c>
      <c r="S48" s="80">
        <f>IF($C48="X",$E48,"")</f>
      </c>
      <c r="T48" s="80">
        <f>IF($C48="X",$E50,"")</f>
      </c>
      <c r="U48" s="80">
        <f>IF($D48="X",ROUND($G48+($H48-$G48)*(($J$12-$I$6)/($J$6-$I$6)),0),"")</f>
      </c>
      <c r="V48" s="80">
        <f>IF($D48="X",ROUND($G48+($H48-$G48)*(($J$12-$I$6)/($J$6-$I$6)),0),"")</f>
      </c>
      <c r="W48" s="80">
        <f>IF($D48="X",$E48,"")</f>
      </c>
      <c r="X48" s="80">
        <f>IF($D48="X",$E50,"")</f>
      </c>
    </row>
    <row r="49" spans="1:24" ht="10.5" customHeight="1">
      <c r="A49" s="73">
        <f>IF($G$4=$E48,"",IF($G$4=$E50,"",IF($G$4&gt;=$E48,IF($G$4&lt;=$E50,"X",""),"")))</f>
      </c>
      <c r="B49" s="73">
        <f>IF($G$7=$E48,"",IF($G$7=$E50,"",IF($G$7&gt;=$E48,IF($G$7&lt;=$E50,"X",""),"")))</f>
      </c>
      <c r="C49" s="73">
        <f>IF($G$10=$E48,"",IF($G$10=$E50,"",IF($G$10&gt;=$E48,IF($G$10&lt;=$E50,"X",""),"")))</f>
      </c>
      <c r="D49" s="73">
        <f>IF($G$13=$E48,"",IF($G$13=$E50,"",IF($G$13&gt;=$E48,IF($G$13&lt;=$E50,"X",""),"")))</f>
      </c>
      <c r="I49" s="94">
        <f>IF($A49="X",ROUND($G48+($H48-$G48)*(($J$12-$I$6)/($J$6-$I$6)),0),"")</f>
      </c>
      <c r="J49" s="94">
        <f>IF($A49="X",ROUND($G50+($H50-$G50)*(($J$12-$I$6)/($J$6-$I$6)),0),"")</f>
      </c>
      <c r="K49" s="94">
        <f>IF($A49="X",$E48,"")</f>
      </c>
      <c r="L49" s="94">
        <f>IF($A49="X",$E50,"")</f>
      </c>
      <c r="M49" s="94">
        <f>IF($B49="X",ROUND($G48+($H48-$G48)*(($J$12-$I$6)/($J$6-$I$6)),0),"")</f>
      </c>
      <c r="N49" s="94">
        <f>IF($B49="X",ROUND($G50+($H50-$G50)*(($J$12-$I$6)/($J$6-$I$6)),0),"")</f>
      </c>
      <c r="O49" s="94">
        <f>IF($B49="X",$E48,"")</f>
      </c>
      <c r="P49" s="94">
        <f>IF($B49="X",$E50,"")</f>
      </c>
      <c r="Q49" s="94">
        <f>IF($C49="X",ROUND($G48+($H48-$G48)*(($J$12-$I$6)/($J$6-$I$6)),0),"")</f>
      </c>
      <c r="R49" s="94">
        <f>IF($C49="X",ROUND($G50+($H50-$G50)*(($J$12-$I$6)/($J$6-$I$6)),0),"")</f>
      </c>
      <c r="S49" s="94">
        <f>IF($C49="X",$E48,"")</f>
      </c>
      <c r="T49" s="94">
        <f>IF($C49="X",$E50,"")</f>
      </c>
      <c r="U49" s="94">
        <f>IF($D49="X",ROUND($G48+($H48-$G48)*(($J$12-$I$6)/($J$6-$I$6)),0),"")</f>
      </c>
      <c r="V49" s="94">
        <f>IF($D49="X",ROUND($G50+($H50-$G50)*(($J$12-$I$6)/($J$6-$I$6)),0),"")</f>
      </c>
      <c r="W49" s="94">
        <f>IF($D49="X",$E48,"")</f>
      </c>
      <c r="X49" s="94">
        <f>IF($D49="X",$E50,"")</f>
      </c>
    </row>
    <row r="50" spans="1:24" ht="10.5" customHeight="1">
      <c r="A50" s="80">
        <f>IF($G$4="","",IF($G$4=E50,"X",""))</f>
      </c>
      <c r="B50" s="80">
        <f>IF($G$7="","",IF($G$7=E50,"X",""))</f>
      </c>
      <c r="C50" s="80">
        <f>IF($G$10="","",IF($G$10=E50,"X",""))</f>
      </c>
      <c r="D50" s="80">
        <f>IF($G$13="","",IF($G$13=E50,"X",""))</f>
      </c>
      <c r="E50" s="80">
        <f>IF($F$15="X",'Tafel § 38'!B37,IF($F$16="X",'Tafel § 41'!B37,""))</f>
        <v>15</v>
      </c>
      <c r="F50" s="80"/>
      <c r="G50" s="80">
        <f>IF($F$15="X",'Tafel § 38'!C37,IF($F$16="X",'Tafel § 41'!C37,""))</f>
        <v>37120</v>
      </c>
      <c r="H50" s="80">
        <f>IF($F$15="X",'Tafel § 38'!D37,IF($F$16="X",'Tafel § 41'!D37,""))</f>
        <v>54054</v>
      </c>
      <c r="I50" s="80">
        <f>IF($A50="X",ROUND($G50+($H50-$G50)*(($J$12-$I$6)/($J$6-$I$6)),0),"")</f>
      </c>
      <c r="J50" s="80">
        <f>IF($A50="X",ROUND($G50+($H50-$G50)*(($J$12-$I$6)/($J$6-$I$6)),0),"")</f>
      </c>
      <c r="K50" s="80">
        <f>IF($A50="X",$E50,"")</f>
      </c>
      <c r="L50" s="80">
        <f>IF($A50="X",$E52,"")</f>
      </c>
      <c r="M50" s="80">
        <f>IF($B50="X",ROUND($G50+($H50-$G50)*(($J$12-$I$6)/($J$6-$I$6)),0),"")</f>
      </c>
      <c r="N50" s="80">
        <f>IF($B50="X",ROUND($G50+($H50-$G50)*(($J$12-$I$6)/($J$6-$I$6)),0),"")</f>
      </c>
      <c r="O50" s="80">
        <f>IF($B50="X",$E50,"")</f>
      </c>
      <c r="P50" s="80">
        <f>IF($B50="X",$E52,"")</f>
      </c>
      <c r="Q50" s="80">
        <f>IF($C50="X",ROUND($G50+($H50-$G50)*(($J$12-$I$6)/($J$6-$I$6)),0),"")</f>
      </c>
      <c r="R50" s="80">
        <f>IF($C50="X",ROUND($G50+($H50-$G50)*(($J$12-$I$6)/($J$6-$I$6)),0),"")</f>
      </c>
      <c r="S50" s="80">
        <f>IF($C50="X",$E50,"")</f>
      </c>
      <c r="T50" s="80">
        <f>IF($C50="X",$E52,"")</f>
      </c>
      <c r="U50" s="80">
        <f>IF($D50="X",ROUND($G50+($H50-$G50)*(($J$12-$I$6)/($J$6-$I$6)),0),"")</f>
      </c>
      <c r="V50" s="80">
        <f>IF($D50="X",ROUND($G50+($H50-$G50)*(($J$12-$I$6)/($J$6-$I$6)),0),"")</f>
      </c>
      <c r="W50" s="80">
        <f>IF($D50="X",$E50,"")</f>
      </c>
      <c r="X50" s="80">
        <f>IF($D50="X",$E52,"")</f>
      </c>
    </row>
    <row r="51" spans="1:24" ht="10.5" customHeight="1">
      <c r="A51" s="73">
        <f>IF($G$4=$E50,"",IF($G$4=$E52,"",IF($G$4&gt;=$E50,IF($G$4&lt;=$E52,"X",""),"")))</f>
      </c>
      <c r="B51" s="73">
        <f>IF($G$7=$E50,"",IF($G$7=$E52,"",IF($G$7&gt;=$E50,IF($G$7&lt;=$E52,"X",""),"")))</f>
      </c>
      <c r="C51" s="73">
        <f>IF($G$10=$E50,"",IF($G$10=$E52,"",IF($G$10&gt;=$E50,IF($G$10&lt;=$E52,"X",""),"")))</f>
      </c>
      <c r="D51" s="73">
        <f>IF($G$13=$E50,"",IF($G$13=$E52,"",IF($G$13&gt;=$E50,IF($G$13&lt;=$E52,"X",""),"")))</f>
      </c>
      <c r="I51" s="94">
        <f>IF($A51="X",ROUND($G50+($H50-$G50)*(($J$12-$I$6)/($J$6-$I$6)),0),"")</f>
      </c>
      <c r="J51" s="94">
        <f>IF($A51="X",ROUND($G52+($H52-$G52)*(($J$12-$I$6)/($J$6-$I$6)),0),"")</f>
      </c>
      <c r="K51" s="94">
        <f>IF($A51="X",$E50,"")</f>
      </c>
      <c r="L51" s="94">
        <f>IF($A51="X",$E52,"")</f>
      </c>
      <c r="M51" s="94">
        <f>IF($B51="X",ROUND($G50+($H50-$G50)*(($J$12-$I$6)/($J$6-$I$6)),0),"")</f>
      </c>
      <c r="N51" s="94">
        <f>IF($B51="X",ROUND($G52+($H52-$G52)*(($J$12-$I$6)/($J$6-$I$6)),0),"")</f>
      </c>
      <c r="O51" s="94">
        <f>IF($B51="X",$E50,"")</f>
      </c>
      <c r="P51" s="94">
        <f>IF($B51="X",$E52,"")</f>
      </c>
      <c r="Q51" s="94">
        <f>IF($C51="X",ROUND($G50+($H50-$G50)*(($J$12-$I$6)/($J$6-$I$6)),0),"")</f>
      </c>
      <c r="R51" s="94">
        <f>IF($C51="X",ROUND($G52+($H52-$G52)*(($J$12-$I$6)/($J$6-$I$6)),0),"")</f>
      </c>
      <c r="S51" s="94">
        <f>IF($C51="X",$E50,"")</f>
      </c>
      <c r="T51" s="94">
        <f>IF($C51="X",$E52,"")</f>
      </c>
      <c r="U51" s="94">
        <f>IF($D51="X",ROUND($G50+($H50-$G50)*(($J$12-$I$6)/($J$6-$I$6)),0),"")</f>
      </c>
      <c r="V51" s="94">
        <f>IF($D51="X",ROUND($G52+($H52-$G52)*(($J$12-$I$6)/($J$6-$I$6)),0),"")</f>
      </c>
      <c r="W51" s="94">
        <f>IF($D51="X",$E50,"")</f>
      </c>
      <c r="X51" s="94">
        <f>IF($D51="X",$E52,"")</f>
      </c>
    </row>
    <row r="52" spans="1:24" ht="10.5" customHeight="1">
      <c r="A52" s="80">
        <f>IF($G$4="","",IF($G$4=E52,"X",""))</f>
      </c>
      <c r="B52" s="80">
        <f>IF($G$7="","",IF($G$7=E52,"X",""))</f>
      </c>
      <c r="C52" s="80">
        <f>IF($G$10="","",IF($G$10=E52,"X",""))</f>
      </c>
      <c r="D52" s="80">
        <f>IF($G$13="","",IF($G$13=E52,"X",""))</f>
      </c>
      <c r="E52" s="80">
        <f>IF($F$15="X",'Tafel § 38'!B39,IF($F$16="X",'Tafel § 41'!B39,""))</f>
        <v>16</v>
      </c>
      <c r="F52" s="80"/>
      <c r="G52" s="80">
        <f>IF($F$15="X",'Tafel § 38'!C39,IF($F$16="X",'Tafel § 41'!C39,""))</f>
        <v>39047</v>
      </c>
      <c r="H52" s="80">
        <f>IF($F$15="X",'Tafel § 38'!D39,IF($F$16="X",'Tafel § 41'!D39,""))</f>
        <v>56888</v>
      </c>
      <c r="I52" s="80">
        <f>IF($A52="X",ROUND($G52+($H52-$G52)*(($J$12-$I$6)/($J$6-$I$6)),0),"")</f>
      </c>
      <c r="J52" s="80">
        <f>IF($A52="X",ROUND($G52+($H52-$G52)*(($J$12-$I$6)/($J$6-$I$6)),0),"")</f>
      </c>
      <c r="K52" s="80">
        <f>IF($A52="X",$E52,"")</f>
      </c>
      <c r="L52" s="80">
        <f>IF($A52="X",$E54,"")</f>
      </c>
      <c r="M52" s="80">
        <f>IF($B52="X",ROUND($G52+($H52-$G52)*(($J$12-$I$6)/($J$6-$I$6)),0),"")</f>
      </c>
      <c r="N52" s="80">
        <f>IF($B52="X",ROUND($G52+($H52-$G52)*(($J$12-$I$6)/($J$6-$I$6)),0),"")</f>
      </c>
      <c r="O52" s="80">
        <f>IF($B52="X",$E52,"")</f>
      </c>
      <c r="P52" s="80">
        <f>IF($B52="X",$E54,"")</f>
      </c>
      <c r="Q52" s="80">
        <f>IF($C52="X",ROUND($G52+($H52-$G52)*(($J$12-$I$6)/($J$6-$I$6)),0),"")</f>
      </c>
      <c r="R52" s="80">
        <f>IF($C52="X",ROUND($G52+($H52-$G52)*(($J$12-$I$6)/($J$6-$I$6)),0),"")</f>
      </c>
      <c r="S52" s="80">
        <f>IF($C52="X",$E52,"")</f>
      </c>
      <c r="T52" s="80">
        <f>IF($C52="X",$E54,"")</f>
      </c>
      <c r="U52" s="80">
        <f>IF($D52="X",ROUND($G52+($H52-$G52)*(($J$12-$I$6)/($J$6-$I$6)),0),"")</f>
      </c>
      <c r="V52" s="80">
        <f>IF($D52="X",ROUND($G52+($H52-$G52)*(($J$12-$I$6)/($J$6-$I$6)),0),"")</f>
      </c>
      <c r="W52" s="80">
        <f>IF($D52="X",$E52,"")</f>
      </c>
      <c r="X52" s="80">
        <f>IF($D52="X",$E54,"")</f>
      </c>
    </row>
    <row r="53" spans="1:24" ht="10.5" customHeight="1">
      <c r="A53" s="73">
        <f>IF($G$4=$E52,"",IF($G$4=$E54,"",IF($G$4&gt;=$E52,IF($G$4&lt;=$E54,"X",""),"")))</f>
      </c>
      <c r="B53" s="73">
        <f>IF($G$7=$E52,"",IF($G$7=$E54,"",IF($G$7&gt;=$E52,IF($G$7&lt;=$E54,"X",""),"")))</f>
      </c>
      <c r="C53" s="73">
        <f>IF($G$10=$E52,"",IF($G$10=$E54,"",IF($G$10&gt;=$E52,IF($G$10&lt;=$E54,"X",""),"")))</f>
      </c>
      <c r="D53" s="73">
        <f>IF($G$13=$E52,"",IF($G$13=$E54,"",IF($G$13&gt;=$E52,IF($G$13&lt;=$E54,"X",""),"")))</f>
      </c>
      <c r="I53" s="94">
        <f>IF($A53="X",ROUND($G52+($H52-$G52)*(($J$12-$I$6)/($J$6-$I$6)),0),"")</f>
      </c>
      <c r="J53" s="94">
        <f>IF($A53="X",ROUND($G54+($H54-$G54)*(($J$12-$I$6)/($J$6-$I$6)),0),"")</f>
      </c>
      <c r="K53" s="94">
        <f>IF($A53="X",$E52,"")</f>
      </c>
      <c r="L53" s="94">
        <f>IF($A53="X",$E54,"")</f>
      </c>
      <c r="M53" s="94">
        <f>IF($B53="X",ROUND($G52+($H52-$G52)*(($J$12-$I$6)/($J$6-$I$6)),0),"")</f>
      </c>
      <c r="N53" s="94">
        <f>IF($B53="X",ROUND($G54+($H54-$G54)*(($J$12-$I$6)/($J$6-$I$6)),0),"")</f>
      </c>
      <c r="O53" s="94">
        <f>IF($B53="X",$E52,"")</f>
      </c>
      <c r="P53" s="94">
        <f>IF($B53="X",$E54,"")</f>
      </c>
      <c r="Q53" s="94">
        <f>IF($C53="X",ROUND($G52+($H52-$G52)*(($J$12-$I$6)/($J$6-$I$6)),0),"")</f>
      </c>
      <c r="R53" s="94">
        <f>IF($C53="X",ROUND($G54+($H54-$G54)*(($J$12-$I$6)/($J$6-$I$6)),0),"")</f>
      </c>
      <c r="S53" s="94">
        <f>IF($C53="X",$E52,"")</f>
      </c>
      <c r="T53" s="94">
        <f>IF($C53="X",$E54,"")</f>
      </c>
      <c r="U53" s="94">
        <f>IF($D53="X",ROUND($G52+($H52-$G52)*(($J$12-$I$6)/($J$6-$I$6)),0),"")</f>
      </c>
      <c r="V53" s="94">
        <f>IF($D53="X",ROUND($G54+($H54-$G54)*(($J$12-$I$6)/($J$6-$I$6)),0),"")</f>
      </c>
      <c r="W53" s="94">
        <f>IF($D53="X",$E52,"")</f>
      </c>
      <c r="X53" s="94">
        <f>IF($D53="X",$E54,"")</f>
      </c>
    </row>
    <row r="54" spans="1:24" ht="10.5" customHeight="1">
      <c r="A54" s="80">
        <f>IF($G$4="","",IF($G$4=E54,"X",""))</f>
      </c>
      <c r="B54" s="80">
        <f>IF($G$7="","",IF($G$7=E54,"X",""))</f>
      </c>
      <c r="C54" s="80">
        <f>IF($G$10="","",IF($G$10=E54,"X",""))</f>
      </c>
      <c r="D54" s="80">
        <f>IF($G$13="","",IF($G$13=E54,"X",""))</f>
      </c>
      <c r="E54" s="80">
        <f>IF($F$15="X",'Tafel § 38'!B41,IF($F$16="X",'Tafel § 41'!B41,""))</f>
        <v>17</v>
      </c>
      <c r="F54" s="80"/>
      <c r="G54" s="80">
        <f>IF($F$15="X",'Tafel § 38'!C41,IF($F$16="X",'Tafel § 41'!C41,""))</f>
        <v>40965</v>
      </c>
      <c r="H54" s="80">
        <f>IF($F$15="X",'Tafel § 38'!D41,IF($F$16="X",'Tafel § 41'!D41,""))</f>
        <v>59714</v>
      </c>
      <c r="I54" s="80">
        <f>IF($A54="X",ROUND($G54+($H54-$G54)*(($J$12-$I$6)/($J$6-$I$6)),0),"")</f>
      </c>
      <c r="J54" s="80">
        <f>IF($A54="X",ROUND($G54+($H54-$G54)*(($J$12-$I$6)/($J$6-$I$6)),0),"")</f>
      </c>
      <c r="K54" s="80">
        <f>IF($A54="X",$E54,"")</f>
      </c>
      <c r="L54" s="80">
        <f>IF($A54="X",$E56,"")</f>
      </c>
      <c r="M54" s="80">
        <f>IF($B54="X",ROUND($G54+($H54-$G54)*(($J$12-$I$6)/($J$6-$I$6)),0),"")</f>
      </c>
      <c r="N54" s="80">
        <f>IF($B54="X",ROUND($G54+($H54-$G54)*(($J$12-$I$6)/($J$6-$I$6)),0),"")</f>
      </c>
      <c r="O54" s="80">
        <f>IF($B54="X",$E54,"")</f>
      </c>
      <c r="P54" s="80">
        <f>IF($B54="X",$E56,"")</f>
      </c>
      <c r="Q54" s="80">
        <f>IF($C54="X",ROUND($G54+($H54-$G54)*(($J$12-$I$6)/($J$6-$I$6)),0),"")</f>
      </c>
      <c r="R54" s="80">
        <f>IF($C54="X",ROUND($G54+($H54-$G54)*(($J$12-$I$6)/($J$6-$I$6)),0),"")</f>
      </c>
      <c r="S54" s="80">
        <f>IF($C54="X",$E54,"")</f>
      </c>
      <c r="T54" s="80">
        <f>IF($C54="X",$E56,"")</f>
      </c>
      <c r="U54" s="80">
        <f>IF($D54="X",ROUND($G54+($H54-$G54)*(($J$12-$I$6)/($J$6-$I$6)),0),"")</f>
      </c>
      <c r="V54" s="80">
        <f>IF($D54="X",ROUND($G54+($H54-$G54)*(($J$12-$I$6)/($J$6-$I$6)),0),"")</f>
      </c>
      <c r="W54" s="80">
        <f>IF($D54="X",$E54,"")</f>
      </c>
      <c r="X54" s="80">
        <f>IF($D54="X",$E56,"")</f>
      </c>
    </row>
    <row r="55" spans="1:24" ht="10.5" customHeight="1">
      <c r="A55" s="73">
        <f>IF($G$4=$E54,"",IF($G$4=$E56,"",IF($G$4&gt;=$E54,IF($G$4&lt;=$E56,"X",""),"")))</f>
      </c>
      <c r="B55" s="73">
        <f>IF($G$7=$E54,"",IF($G$7=$E56,"",IF($G$7&gt;=$E54,IF($G$7&lt;=$E56,"X",""),"")))</f>
      </c>
      <c r="C55" s="73">
        <f>IF($G$10=$E54,"",IF($G$10=$E56,"",IF($G$10&gt;=$E54,IF($G$10&lt;=$E56,"X",""),"")))</f>
      </c>
      <c r="D55" s="73">
        <f>IF($G$13=$E54,"",IF($G$13=$E56,"",IF($G$13&gt;=$E54,IF($G$13&lt;=$E56,"X",""),"")))</f>
      </c>
      <c r="I55" s="94">
        <f>IF($A55="X",ROUND($G54+($H54-$G54)*(($J$12-$I$6)/($J$6-$I$6)),0),"")</f>
      </c>
      <c r="J55" s="94">
        <f>IF($A55="X",ROUND($G56+($H56-$G56)*(($J$12-$I$6)/($J$6-$I$6)),0),"")</f>
      </c>
      <c r="K55" s="94">
        <f>IF($A55="X",$E54,"")</f>
      </c>
      <c r="L55" s="94">
        <f>IF($A55="X",$E56,"")</f>
      </c>
      <c r="M55" s="94">
        <f>IF($B55="X",ROUND($G54+($H54-$G54)*(($J$12-$I$6)/($J$6-$I$6)),0),"")</f>
      </c>
      <c r="N55" s="94">
        <f>IF($B55="X",ROUND($G56+($H56-$G56)*(($J$12-$I$6)/($J$6-$I$6)),0),"")</f>
      </c>
      <c r="O55" s="94">
        <f>IF($B55="X",$E54,"")</f>
      </c>
      <c r="P55" s="94">
        <f>IF($B55="X",$E56,"")</f>
      </c>
      <c r="Q55" s="94">
        <f>IF($C55="X",ROUND($G54+($H54-$G54)*(($J$12-$I$6)/($J$6-$I$6)),0),"")</f>
      </c>
      <c r="R55" s="94">
        <f>IF($C55="X",ROUND($G56+($H56-$G56)*(($J$12-$I$6)/($J$6-$I$6)),0),"")</f>
      </c>
      <c r="S55" s="94">
        <f>IF($C55="X",$E54,"")</f>
      </c>
      <c r="T55" s="94">
        <f>IF($C55="X",$E56,"")</f>
      </c>
      <c r="U55" s="94">
        <f>IF($D55="X",ROUND($G54+($H54-$G54)*(($J$12-$I$6)/($J$6-$I$6)),0),"")</f>
      </c>
      <c r="V55" s="94">
        <f>IF($D55="X",ROUND($G56+($H56-$G56)*(($J$12-$I$6)/($J$6-$I$6)),0),"")</f>
      </c>
      <c r="W55" s="94">
        <f>IF($D55="X",$E54,"")</f>
      </c>
      <c r="X55" s="94">
        <f>IF($D55="X",$E56,"")</f>
      </c>
    </row>
    <row r="56" spans="1:24" ht="10.5" customHeight="1">
      <c r="A56" s="80">
        <f>IF($G$4="","",IF($G$4=E56,"X",""))</f>
      </c>
      <c r="B56" s="80">
        <f>IF($G$7="","",IF($G$7=E56,"X",""))</f>
      </c>
      <c r="C56" s="80">
        <f>IF($G$10="","",IF($G$10=E56,"X",""))</f>
      </c>
      <c r="D56" s="80">
        <f>IF($G$13="","",IF($G$13=E56,"X",""))</f>
      </c>
      <c r="E56" s="80">
        <f>IF($F$15="X",'Tafel § 38'!B43,IF($F$16="X",'Tafel § 41'!B43,""))</f>
        <v>18</v>
      </c>
      <c r="F56" s="80"/>
      <c r="G56" s="80">
        <f>IF($F$15="X",'Tafel § 38'!C43,IF($F$16="X",'Tafel § 41'!C43,""))</f>
        <v>42887</v>
      </c>
      <c r="H56" s="80">
        <f>IF($F$15="X",'Tafel § 38'!D43,IF($F$16="X",'Tafel § 41'!D43,""))</f>
        <v>62557</v>
      </c>
      <c r="I56" s="80">
        <f>IF($A56="X",ROUND($G56+($H56-$G56)*(($J$12-$I$6)/($J$6-$I$6)),0),"")</f>
      </c>
      <c r="J56" s="80">
        <f>IF($A56="X",ROUND($G56+($H56-$G56)*(($J$12-$I$6)/($J$6-$I$6)),0),"")</f>
      </c>
      <c r="K56" s="80">
        <f>IF($A56="X",$E56,"")</f>
      </c>
      <c r="L56" s="80">
        <f>IF($A56="X",$E58,"")</f>
      </c>
      <c r="M56" s="80">
        <f>IF($B56="X",ROUND($G56+($H56-$G56)*(($J$12-$I$6)/($J$6-$I$6)),0),"")</f>
      </c>
      <c r="N56" s="80">
        <f>IF($B56="X",ROUND($G56+($H56-$G56)*(($J$12-$I$6)/($J$6-$I$6)),0),"")</f>
      </c>
      <c r="O56" s="80">
        <f>IF($B56="X",$E56,"")</f>
      </c>
      <c r="P56" s="80">
        <f>IF($B56="X",$E58,"")</f>
      </c>
      <c r="Q56" s="80">
        <f>IF($C56="X",ROUND($G56+($H56-$G56)*(($J$12-$I$6)/($J$6-$I$6)),0),"")</f>
      </c>
      <c r="R56" s="80">
        <f>IF($C56="X",ROUND($G56+($H56-$G56)*(($J$12-$I$6)/($J$6-$I$6)),0),"")</f>
      </c>
      <c r="S56" s="80">
        <f>IF($C56="X",$E56,"")</f>
      </c>
      <c r="T56" s="80">
        <f>IF($C56="X",$E58,"")</f>
      </c>
      <c r="U56" s="80">
        <f>IF($D56="X",ROUND($G56+($H56-$G56)*(($J$12-$I$6)/($J$6-$I$6)),0),"")</f>
      </c>
      <c r="V56" s="80">
        <f>IF($D56="X",ROUND($G56+($H56-$G56)*(($J$12-$I$6)/($J$6-$I$6)),0),"")</f>
      </c>
      <c r="W56" s="80">
        <f>IF($D56="X",$E56,"")</f>
      </c>
      <c r="X56" s="80">
        <f>IF($D56="X",$E58,"")</f>
      </c>
    </row>
    <row r="57" spans="1:24" ht="10.5" customHeight="1">
      <c r="A57" s="73">
        <f>IF($G$4=$E56,"",IF($G$4=$E58,"",IF($G$4&gt;=$E56,IF($G$4&lt;=$E58,"X",""),"")))</f>
      </c>
      <c r="B57" s="73">
        <f>IF($G$7=$E56,"",IF($G$7=$E58,"",IF($G$7&gt;=$E56,IF($G$7&lt;=$E58,"X",""),"")))</f>
      </c>
      <c r="C57" s="73">
        <f>IF($G$10=$E56,"",IF($G$10=$E58,"",IF($G$10&gt;=$E56,IF($G$10&lt;=$E58,"X",""),"")))</f>
      </c>
      <c r="D57" s="73">
        <f>IF($G$13=$E56,"",IF($G$13=$E58,"",IF($G$13&gt;=$E56,IF($G$13&lt;=$E58,"X",""),"")))</f>
      </c>
      <c r="I57" s="94">
        <f>IF($A57="X",ROUND($G56+($H56-$G56)*(($J$12-$I$6)/($J$6-$I$6)),0),"")</f>
      </c>
      <c r="J57" s="94">
        <f>IF($A57="X",ROUND($G58+($H58-$G58)*(($J$12-$I$6)/($J$6-$I$6)),0),"")</f>
      </c>
      <c r="K57" s="94">
        <f>IF($A57="X",$E56,"")</f>
      </c>
      <c r="L57" s="94">
        <f>IF($A57="X",$E58,"")</f>
      </c>
      <c r="M57" s="94">
        <f>IF($B57="X",ROUND($G56+($H56-$G56)*(($J$12-$I$6)/($J$6-$I$6)),0),"")</f>
      </c>
      <c r="N57" s="94">
        <f>IF($B57="X",ROUND($G58+($H58-$G58)*(($J$12-$I$6)/($J$6-$I$6)),0),"")</f>
      </c>
      <c r="O57" s="94">
        <f>IF($B57="X",$E56,"")</f>
      </c>
      <c r="P57" s="94">
        <f>IF($B57="X",$E58,"")</f>
      </c>
      <c r="Q57" s="94">
        <f>IF($C57="X",ROUND($G56+($H56-$G56)*(($J$12-$I$6)/($J$6-$I$6)),0),"")</f>
      </c>
      <c r="R57" s="94">
        <f>IF($C57="X",ROUND($G58+($H58-$G58)*(($J$12-$I$6)/($J$6-$I$6)),0),"")</f>
      </c>
      <c r="S57" s="94">
        <f>IF($C57="X",$E56,"")</f>
      </c>
      <c r="T57" s="94">
        <f>IF($C57="X",$E58,"")</f>
      </c>
      <c r="U57" s="94">
        <f>IF($D57="X",ROUND($G56+($H56-$G56)*(($J$12-$I$6)/($J$6-$I$6)),0),"")</f>
      </c>
      <c r="V57" s="94">
        <f>IF($D57="X",ROUND($G58+($H58-$G58)*(($J$12-$I$6)/($J$6-$I$6)),0),"")</f>
      </c>
      <c r="W57" s="94">
        <f>IF($D57="X",$E56,"")</f>
      </c>
      <c r="X57" s="94">
        <f>IF($D57="X",$E58,"")</f>
      </c>
    </row>
    <row r="58" spans="1:24" ht="10.5" customHeight="1">
      <c r="A58" s="80">
        <f>IF($G$4="","",IF($G$4=E58,"X",""))</f>
      </c>
      <c r="B58" s="80">
        <f>IF($G$7="","",IF($G$7=E58,"X",""))</f>
      </c>
      <c r="C58" s="80">
        <f>IF($G$10="","",IF($G$10=E58,"X",""))</f>
      </c>
      <c r="D58" s="80">
        <f>IF($G$13="","",IF($G$13=E58,"X",""))</f>
      </c>
      <c r="E58" s="80">
        <f>IF($F$15="X",'Tafel § 38'!B45,IF($F$16="X",'Tafel § 41'!B45,""))</f>
        <v>19</v>
      </c>
      <c r="F58" s="80"/>
      <c r="G58" s="80">
        <f>IF($F$15="X",'Tafel § 38'!C45,IF($F$16="X",'Tafel § 41'!C45,""))</f>
        <v>44805</v>
      </c>
      <c r="H58" s="80">
        <f>IF($F$15="X",'Tafel § 38'!D45,IF($F$16="X",'Tafel § 41'!D45,""))</f>
        <v>65389</v>
      </c>
      <c r="I58" s="80">
        <f>IF($A58="X",ROUND($G58+($H58-$G58)*(($J$12-$I$6)/($J$6-$I$6)),0),"")</f>
      </c>
      <c r="J58" s="80">
        <f>IF($A58="X",ROUND($G58+($H58-$G58)*(($J$12-$I$6)/($J$6-$I$6)),0),"")</f>
      </c>
      <c r="K58" s="80">
        <f>IF($A58="X",$E58,"")</f>
      </c>
      <c r="L58" s="80">
        <f>IF($A58="X",$E60,"")</f>
      </c>
      <c r="M58" s="80">
        <f>IF($B58="X",ROUND($G58+($H58-$G58)*(($J$12-$I$6)/($J$6-$I$6)),0),"")</f>
      </c>
      <c r="N58" s="80">
        <f>IF($B58="X",ROUND($G58+($H58-$G58)*(($J$12-$I$6)/($J$6-$I$6)),0),"")</f>
      </c>
      <c r="O58" s="80">
        <f>IF($B58="X",$E58,"")</f>
      </c>
      <c r="P58" s="80">
        <f>IF($B58="X",$E60,"")</f>
      </c>
      <c r="Q58" s="80">
        <f>IF($C58="X",ROUND($G58+($H58-$G58)*(($J$12-$I$6)/($J$6-$I$6)),0),"")</f>
      </c>
      <c r="R58" s="80">
        <f>IF($C58="X",ROUND($G58+($H58-$G58)*(($J$12-$I$6)/($J$6-$I$6)),0),"")</f>
      </c>
      <c r="S58" s="80">
        <f>IF($C58="X",$E58,"")</f>
      </c>
      <c r="T58" s="80">
        <f>IF($C58="X",$E60,"")</f>
      </c>
      <c r="U58" s="80">
        <f>IF($D58="X",ROUND($G58+($H58-$G58)*(($J$12-$I$6)/($J$6-$I$6)),0),"")</f>
      </c>
      <c r="V58" s="80">
        <f>IF($D58="X",ROUND($G58+($H58-$G58)*(($J$12-$I$6)/($J$6-$I$6)),0),"")</f>
      </c>
      <c r="W58" s="80">
        <f>IF($D58="X",$E58,"")</f>
      </c>
      <c r="X58" s="80">
        <f>IF($D58="X",$E60,"")</f>
      </c>
    </row>
    <row r="59" spans="1:24" ht="10.5" customHeight="1">
      <c r="A59" s="73">
        <f>IF($G$4=$E58,"",IF($G$4=$E60,"",IF($G$4&gt;=$E58,IF($G$4&lt;=$E60,"X",""),"")))</f>
      </c>
      <c r="B59" s="73">
        <f>IF($G$7=$E58,"",IF($G$7=$E60,"",IF($G$7&gt;=$E58,IF($G$7&lt;=$E60,"X",""),"")))</f>
      </c>
      <c r="C59" s="73">
        <f>IF($G$10=$E58,"",IF($G$10=$E60,"",IF($G$10&gt;=$E58,IF($G$10&lt;=$E60,"X",""),"")))</f>
      </c>
      <c r="D59" s="73">
        <f>IF($G$13=$E58,"",IF($G$13=$E60,"",IF($G$13&gt;=$E58,IF($G$13&lt;=$E60,"X",""),"")))</f>
      </c>
      <c r="I59" s="94">
        <f>IF($A59="X",ROUND($G58+($H58-$G58)*(($J$12-$I$6)/($J$6-$I$6)),0),"")</f>
      </c>
      <c r="J59" s="94">
        <f>IF($A59="X",ROUND($G60+($H60-$G60)*(($J$12-$I$6)/($J$6-$I$6)),0),"")</f>
      </c>
      <c r="K59" s="94">
        <f>IF($A59="X",$E58,"")</f>
      </c>
      <c r="L59" s="94">
        <f>IF($A59="X",$E60,"")</f>
      </c>
      <c r="M59" s="94">
        <f>IF($B59="X",ROUND($G58+($H58-$G58)*(($J$12-$I$6)/($J$6-$I$6)),0),"")</f>
      </c>
      <c r="N59" s="94">
        <f>IF($B59="X",ROUND($G60+($H60-$G60)*(($J$12-$I$6)/($J$6-$I$6)),0),"")</f>
      </c>
      <c r="O59" s="94">
        <f>IF($B59="X",$E58,"")</f>
      </c>
      <c r="P59" s="94">
        <f>IF($B59="X",$E60,"")</f>
      </c>
      <c r="Q59" s="94">
        <f>IF($C59="X",ROUND($G58+($H58-$G58)*(($J$12-$I$6)/($J$6-$I$6)),0),"")</f>
      </c>
      <c r="R59" s="94">
        <f>IF($C59="X",ROUND($G60+($H60-$G60)*(($J$12-$I$6)/($J$6-$I$6)),0),"")</f>
      </c>
      <c r="S59" s="94">
        <f>IF($C59="X",$E58,"")</f>
      </c>
      <c r="T59" s="94">
        <f>IF($C59="X",$E60,"")</f>
      </c>
      <c r="U59" s="94">
        <f>IF($D59="X",ROUND($G58+($H58-$G58)*(($J$12-$I$6)/($J$6-$I$6)),0),"")</f>
      </c>
      <c r="V59" s="94">
        <f>IF($D59="X",ROUND($G60+($H60-$G60)*(($J$12-$I$6)/($J$6-$I$6)),0),"")</f>
      </c>
      <c r="W59" s="94">
        <f>IF($D59="X",$E58,"")</f>
      </c>
      <c r="X59" s="94">
        <f>IF($D59="X",$E60,"")</f>
      </c>
    </row>
    <row r="60" spans="1:24" ht="10.5" customHeight="1">
      <c r="A60" s="80">
        <f>IF($G$4="","",IF($G$4=E60,"X",""))</f>
      </c>
      <c r="B60" s="80">
        <f>IF($G$7="","",IF($G$7=E60,"X",""))</f>
      </c>
      <c r="C60" s="80">
        <f>IF($G$10="","",IF($G$10=E60,"X",""))</f>
      </c>
      <c r="D60" s="80">
        <f>IF($G$13="","",IF($G$13=E60,"X",""))</f>
      </c>
      <c r="E60" s="80">
        <f>IF($F$15="X",'Tafel § 38'!B47,IF($F$16="X",'Tafel § 41'!B47,""))</f>
        <v>20</v>
      </c>
      <c r="F60" s="80"/>
      <c r="G60" s="80">
        <f>IF($F$15="X",'Tafel § 38'!C47,IF($F$16="X",'Tafel § 41'!C47,""))</f>
        <v>46727</v>
      </c>
      <c r="H60" s="80">
        <f>IF($F$15="X",'Tafel § 38'!D47,IF($F$16="X",'Tafel § 41'!D47,""))</f>
        <v>68222</v>
      </c>
      <c r="I60" s="80">
        <f>IF($A60="X",ROUND($G60+($H60-$G60)*(($J$12-$I$6)/($J$6-$I$6)),0),"")</f>
      </c>
      <c r="J60" s="80">
        <f>IF($A60="X",ROUND($G60+($H60-$G60)*(($J$12-$I$6)/($J$6-$I$6)),0),"")</f>
      </c>
      <c r="K60" s="80">
        <f>IF($A60="X",$E60,"")</f>
      </c>
      <c r="L60" s="80">
        <f>IF($A60="X",$E62,"")</f>
      </c>
      <c r="M60" s="80">
        <f>IF($B60="X",ROUND($G60+($H60-$G60)*(($J$12-$I$6)/($J$6-$I$6)),0),"")</f>
      </c>
      <c r="N60" s="80">
        <f>IF($B60="X",ROUND($G60+($H60-$G60)*(($J$12-$I$6)/($J$6-$I$6)),0),"")</f>
      </c>
      <c r="O60" s="80">
        <f>IF($B60="X",$E60,"")</f>
      </c>
      <c r="P60" s="80">
        <f>IF($B60="X",$E62,"")</f>
      </c>
      <c r="Q60" s="80">
        <f>IF($C60="X",ROUND($G60+($H60-$G60)*(($J$12-$I$6)/($J$6-$I$6)),0),"")</f>
      </c>
      <c r="R60" s="80">
        <f>IF($C60="X",ROUND($G60+($H60-$G60)*(($J$12-$I$6)/($J$6-$I$6)),0),"")</f>
      </c>
      <c r="S60" s="80">
        <f>IF($C60="X",$E60,"")</f>
      </c>
      <c r="T60" s="80">
        <f>IF($C60="X",$E62,"")</f>
      </c>
      <c r="U60" s="80">
        <f>IF($D60="X",ROUND($G60+($H60-$G60)*(($J$12-$I$6)/($J$6-$I$6)),0),"")</f>
      </c>
      <c r="V60" s="80">
        <f>IF($D60="X",ROUND($G60+($H60-$G60)*(($J$12-$I$6)/($J$6-$I$6)),0),"")</f>
      </c>
      <c r="W60" s="80">
        <f>IF($D60="X",$E60,"")</f>
      </c>
      <c r="X60" s="80">
        <f>IF($D60="X",$E62,"")</f>
      </c>
    </row>
    <row r="61" spans="1:24" ht="10.5" customHeight="1">
      <c r="A61" s="73">
        <f>IF($G$4=$E60,"",IF($G$4=$E62,"",IF($G$4&gt;=$E60,IF($G$4&lt;=$E62,"X",""),"")))</f>
      </c>
      <c r="B61" s="73">
        <f>IF($G$7=$E60,"",IF($G$7=$E62,"",IF($G$7&gt;=$E60,IF($G$7&lt;=$E62,"X",""),"")))</f>
      </c>
      <c r="C61" s="73">
        <f>IF($G$10=$E60,"",IF($G$10=$E62,"",IF($G$10&gt;=$E60,IF($G$10&lt;=$E62,"X",""),"")))</f>
      </c>
      <c r="D61" s="73">
        <f>IF($G$13=$E60,"",IF($G$13=$E62,"",IF($G$13&gt;=$E60,IF($G$13&lt;=$E62,"X",""),"")))</f>
      </c>
      <c r="I61" s="94">
        <f>IF($A61="X",ROUND($G60+($H60-$G60)*(($J$12-$I$6)/($J$6-$I$6)),0),"")</f>
      </c>
      <c r="J61" s="94">
        <f>IF($A61="X",ROUND($G62+($H62-$G62)*(($J$12-$I$6)/($J$6-$I$6)),0),"")</f>
      </c>
      <c r="K61" s="94">
        <f>IF($A61="X",$E60,"")</f>
      </c>
      <c r="L61" s="94">
        <f>IF($A61="X",$E62,"")</f>
      </c>
      <c r="M61" s="94">
        <f>IF($B61="X",ROUND($G60+($H60-$G60)*(($J$12-$I$6)/($J$6-$I$6)),0),"")</f>
      </c>
      <c r="N61" s="94">
        <f>IF($B61="X",ROUND($G62+($H62-$G62)*(($J$12-$I$6)/($J$6-$I$6)),0),"")</f>
      </c>
      <c r="O61" s="94">
        <f>IF($B61="X",$E60,"")</f>
      </c>
      <c r="P61" s="94">
        <f>IF($B61="X",$E62,"")</f>
      </c>
      <c r="Q61" s="94">
        <f>IF($C61="X",ROUND($G60+($H60-$G60)*(($J$12-$I$6)/($J$6-$I$6)),0),"")</f>
      </c>
      <c r="R61" s="94">
        <f>IF($C61="X",ROUND($G62+($H62-$G62)*(($J$12-$I$6)/($J$6-$I$6)),0),"")</f>
      </c>
      <c r="S61" s="94">
        <f>IF($C61="X",$E60,"")</f>
      </c>
      <c r="T61" s="94">
        <f>IF($C61="X",$E62,"")</f>
      </c>
      <c r="U61" s="94">
        <f>IF($D61="X",ROUND($G60+($H60-$G60)*(($J$12-$I$6)/($J$6-$I$6)),0),"")</f>
      </c>
      <c r="V61" s="94">
        <f>IF($D61="X",ROUND($G62+($H62-$G62)*(($J$12-$I$6)/($J$6-$I$6)),0),"")</f>
      </c>
      <c r="W61" s="94">
        <f>IF($D61="X",$E60,"")</f>
      </c>
      <c r="X61" s="94">
        <f>IF($D61="X",$E62,"")</f>
      </c>
    </row>
    <row r="62" spans="1:24" ht="10.5" customHeight="1">
      <c r="A62" s="80">
        <f>IF($G$4="","",IF($G$4=E62,"X",""))</f>
      </c>
      <c r="B62" s="80">
        <f>IF($G$7="","",IF($G$7=E62,"X",""))</f>
      </c>
      <c r="C62" s="80">
        <f>IF($G$10="","",IF($G$10=E62,"X",""))</f>
      </c>
      <c r="D62" s="80">
        <f>IF($G$13="","",IF($G$13=E62,"X",""))</f>
      </c>
      <c r="E62" s="80">
        <f>IF($F$15="X",'Tafel § 38'!B49,IF($F$16="X",'Tafel § 41'!B49,""))</f>
        <v>21</v>
      </c>
      <c r="F62" s="80"/>
      <c r="G62" s="80">
        <f>IF($F$15="X",'Tafel § 38'!C49,IF($F$16="X",'Tafel § 41'!C49,""))</f>
        <v>48516</v>
      </c>
      <c r="H62" s="80">
        <f>IF($F$15="X",'Tafel § 38'!D49,IF($F$16="X",'Tafel § 41'!D49,""))</f>
        <v>70850</v>
      </c>
      <c r="I62" s="80">
        <f>IF($A62="X",ROUND($G62+($H62-$G62)*(($J$12-$I$6)/($J$6-$I$6)),0),"")</f>
      </c>
      <c r="J62" s="80">
        <f>IF($A62="X",ROUND($G62+($H62-$G62)*(($J$12-$I$6)/($J$6-$I$6)),0),"")</f>
      </c>
      <c r="K62" s="80">
        <f>IF($A62="X",$E62,"")</f>
      </c>
      <c r="L62" s="80">
        <f>IF($A62="X",$E64,"")</f>
      </c>
      <c r="M62" s="80">
        <f>IF($B62="X",ROUND($G62+($H62-$G62)*(($J$12-$I$6)/($J$6-$I$6)),0),"")</f>
      </c>
      <c r="N62" s="80">
        <f>IF($B62="X",ROUND($G62+($H62-$G62)*(($J$12-$I$6)/($J$6-$I$6)),0),"")</f>
      </c>
      <c r="O62" s="80">
        <f>IF($B62="X",$E62,"")</f>
      </c>
      <c r="P62" s="80">
        <f>IF($B62="X",$E64,"")</f>
      </c>
      <c r="Q62" s="80">
        <f>IF($C62="X",ROUND($G62+($H62-$G62)*(($J$12-$I$6)/($J$6-$I$6)),0),"")</f>
      </c>
      <c r="R62" s="80">
        <f>IF($C62="X",ROUND($G62+($H62-$G62)*(($J$12-$I$6)/($J$6-$I$6)),0),"")</f>
      </c>
      <c r="S62" s="80">
        <f>IF($C62="X",$E62,"")</f>
      </c>
      <c r="T62" s="80">
        <f>IF($C62="X",$E64,"")</f>
      </c>
      <c r="U62" s="80">
        <f>IF($D62="X",ROUND($G62+($H62-$G62)*(($J$12-$I$6)/($J$6-$I$6)),0),"")</f>
      </c>
      <c r="V62" s="80">
        <f>IF($D62="X",ROUND($G62+($H62-$G62)*(($J$12-$I$6)/($J$6-$I$6)),0),"")</f>
      </c>
      <c r="W62" s="80">
        <f>IF($D62="X",$E62,"")</f>
      </c>
      <c r="X62" s="80">
        <f>IF($D62="X",$E64,"")</f>
      </c>
    </row>
    <row r="63" spans="1:24" ht="10.5" customHeight="1">
      <c r="A63" s="73">
        <f>IF($G$4=$E62,"",IF($G$4=$E64,"",IF($G$4&gt;=$E62,IF($G$4&lt;=$E64,"X",""),"")))</f>
      </c>
      <c r="B63" s="73">
        <f>IF($G$7=$E62,"",IF($G$7=$E64,"",IF($G$7&gt;=$E62,IF($G$7&lt;=$E64,"X",""),"")))</f>
      </c>
      <c r="C63" s="73">
        <f>IF($G$10=$E62,"",IF($G$10=$E64,"",IF($G$10&gt;=$E62,IF($G$10&lt;=$E64,"X",""),"")))</f>
      </c>
      <c r="D63" s="73">
        <f>IF($G$13=$E62,"",IF($G$13=$E64,"",IF($G$13&gt;=$E62,IF($G$13&lt;=$E64,"X",""),"")))</f>
      </c>
      <c r="I63" s="94">
        <f>IF($A63="X",ROUND($G62+($H62-$G62)*(($J$12-$I$6)/($J$6-$I$6)),0),"")</f>
      </c>
      <c r="J63" s="94">
        <f>IF($A63="X",ROUND($G64+($H64-$G64)*(($J$12-$I$6)/($J$6-$I$6)),0),"")</f>
      </c>
      <c r="K63" s="94">
        <f>IF($A63="X",$E62,"")</f>
      </c>
      <c r="L63" s="94">
        <f>IF($A63="X",$E64,"")</f>
      </c>
      <c r="M63" s="94">
        <f>IF($B63="X",ROUND($G62+($H62-$G62)*(($J$12-$I$6)/($J$6-$I$6)),0),"")</f>
      </c>
      <c r="N63" s="94">
        <f>IF($B63="X",ROUND($G64+($H64-$G64)*(($J$12-$I$6)/($J$6-$I$6)),0),"")</f>
      </c>
      <c r="O63" s="94">
        <f>IF($B63="X",$E62,"")</f>
      </c>
      <c r="P63" s="94">
        <f>IF($B63="X",$E64,"")</f>
      </c>
      <c r="Q63" s="94">
        <f>IF($C63="X",ROUND($G62+($H62-$G62)*(($J$12-$I$6)/($J$6-$I$6)),0),"")</f>
      </c>
      <c r="R63" s="94">
        <f>IF($C63="X",ROUND($G64+($H64-$G64)*(($J$12-$I$6)/($J$6-$I$6)),0),"")</f>
      </c>
      <c r="S63" s="94">
        <f>IF($C63="X",$E62,"")</f>
      </c>
      <c r="T63" s="94">
        <f>IF($C63="X",$E64,"")</f>
      </c>
      <c r="U63" s="94">
        <f>IF($D63="X",ROUND($G62+($H62-$G62)*(($J$12-$I$6)/($J$6-$I$6)),0),"")</f>
      </c>
      <c r="V63" s="94">
        <f>IF($D63="X",ROUND($G64+($H64-$G64)*(($J$12-$I$6)/($J$6-$I$6)),0),"")</f>
      </c>
      <c r="W63" s="94">
        <f>IF($D63="X",$E62,"")</f>
      </c>
      <c r="X63" s="94">
        <f>IF($D63="X",$E64,"")</f>
      </c>
    </row>
    <row r="64" spans="1:24" ht="10.5" customHeight="1">
      <c r="A64" s="80">
        <f>IF($G$4="","",IF($G$4=E64,"X",""))</f>
      </c>
      <c r="B64" s="80">
        <f>IF($G$7="","",IF($G$7=E64,"X",""))</f>
      </c>
      <c r="C64" s="80">
        <f>IF($G$10="","",IF($G$10=E64,"X",""))</f>
      </c>
      <c r="D64" s="80">
        <f>IF($G$13="","",IF($G$13=E64,"X",""))</f>
      </c>
      <c r="E64" s="80">
        <f>IF($F$15="X",'Tafel § 38'!B51,IF($F$16="X",'Tafel § 41'!B51,""))</f>
        <v>22</v>
      </c>
      <c r="F64" s="80"/>
      <c r="G64" s="80">
        <f>IF($F$15="X",'Tafel § 38'!C51,IF($F$16="X",'Tafel § 41'!C51,""))</f>
        <v>50321</v>
      </c>
      <c r="H64" s="80">
        <f>IF($F$15="X",'Tafel § 38'!D51,IF($F$16="X",'Tafel § 41'!D51,""))</f>
        <v>73483</v>
      </c>
      <c r="I64" s="80">
        <f>IF($A64="X",ROUND($G64+($H64-$G64)*(($J$12-$I$6)/($J$6-$I$6)),0),"")</f>
      </c>
      <c r="J64" s="80">
        <f>IF($A64="X",ROUND($G64+($H64-$G64)*(($J$12-$I$6)/($J$6-$I$6)),0),"")</f>
      </c>
      <c r="K64" s="80">
        <f>IF($A64="X",$E64,"")</f>
      </c>
      <c r="L64" s="80">
        <f>IF($A64="X",$E66,"")</f>
      </c>
      <c r="M64" s="80">
        <f>IF($B64="X",ROUND($G64+($H64-$G64)*(($J$12-$I$6)/($J$6-$I$6)),0),"")</f>
      </c>
      <c r="N64" s="80">
        <f>IF($B64="X",ROUND($G64+($H64-$G64)*(($J$12-$I$6)/($J$6-$I$6)),0),"")</f>
      </c>
      <c r="O64" s="80">
        <f>IF($B64="X",$E64,"")</f>
      </c>
      <c r="P64" s="80">
        <f>IF($B64="X",$E66,"")</f>
      </c>
      <c r="Q64" s="80">
        <f>IF($C64="X",ROUND($G64+($H64-$G64)*(($J$12-$I$6)/($J$6-$I$6)),0),"")</f>
      </c>
      <c r="R64" s="80">
        <f>IF($C64="X",ROUND($G64+($H64-$G64)*(($J$12-$I$6)/($J$6-$I$6)),0),"")</f>
      </c>
      <c r="S64" s="80">
        <f>IF($C64="X",$E64,"")</f>
      </c>
      <c r="T64" s="80">
        <f>IF($C64="X",$E66,"")</f>
      </c>
      <c r="U64" s="80">
        <f>IF($D64="X",ROUND($G64+($H64-$G64)*(($J$12-$I$6)/($J$6-$I$6)),0),"")</f>
      </c>
      <c r="V64" s="80">
        <f>IF($D64="X",ROUND($G64+($H64-$G64)*(($J$12-$I$6)/($J$6-$I$6)),0),"")</f>
      </c>
      <c r="W64" s="80">
        <f>IF($D64="X",$E64,"")</f>
      </c>
      <c r="X64" s="80">
        <f>IF($D64="X",$E66,"")</f>
      </c>
    </row>
    <row r="65" spans="1:24" ht="10.5" customHeight="1">
      <c r="A65" s="73">
        <f>IF($G$4=$E64,"",IF($G$4=$E66,"",IF($G$4&gt;=$E64,IF($G$4&lt;=$E66,"X",""),"")))</f>
      </c>
      <c r="B65" s="73">
        <f>IF($G$7=$E64,"",IF($G$7=$E66,"",IF($G$7&gt;=$E64,IF($G$7&lt;=$E66,"X",""),"")))</f>
      </c>
      <c r="C65" s="73">
        <f>IF($G$10=$E64,"",IF($G$10=$E66,"",IF($G$10&gt;=$E64,IF($G$10&lt;=$E66,"X",""),"")))</f>
      </c>
      <c r="D65" s="73">
        <f>IF($G$13=$E64,"",IF($G$13=$E66,"",IF($G$13&gt;=$E64,IF($G$13&lt;=$E66,"X",""),"")))</f>
      </c>
      <c r="I65" s="94">
        <f>IF($A65="X",ROUND($G64+($H64-$G64)*(($J$12-$I$6)/($J$6-$I$6)),0),"")</f>
      </c>
      <c r="J65" s="94">
        <f>IF($A65="X",ROUND($G66+($H66-$G66)*(($J$12-$I$6)/($J$6-$I$6)),0),"")</f>
      </c>
      <c r="K65" s="94">
        <f>IF($A65="X",$E64,"")</f>
      </c>
      <c r="L65" s="94">
        <f>IF($A65="X",$E66,"")</f>
      </c>
      <c r="M65" s="94">
        <f>IF($B65="X",ROUND($G64+($H64-$G64)*(($J$12-$I$6)/($J$6-$I$6)),0),"")</f>
      </c>
      <c r="N65" s="94">
        <f>IF($B65="X",ROUND($G66+($H66-$G66)*(($J$12-$I$6)/($J$6-$I$6)),0),"")</f>
      </c>
      <c r="O65" s="94">
        <f>IF($B65="X",$E64,"")</f>
      </c>
      <c r="P65" s="94">
        <f>IF($B65="X",$E66,"")</f>
      </c>
      <c r="Q65" s="94">
        <f>IF($C65="X",ROUND($G64+($H64-$G64)*(($J$12-$I$6)/($J$6-$I$6)),0),"")</f>
      </c>
      <c r="R65" s="94">
        <f>IF($C65="X",ROUND($G66+($H66-$G66)*(($J$12-$I$6)/($J$6-$I$6)),0),"")</f>
      </c>
      <c r="S65" s="94">
        <f>IF($C65="X",$E64,"")</f>
      </c>
      <c r="T65" s="94">
        <f>IF($C65="X",$E66,"")</f>
      </c>
      <c r="U65" s="94">
        <f>IF($D65="X",ROUND($G64+($H64-$G64)*(($J$12-$I$6)/($J$6-$I$6)),0),"")</f>
      </c>
      <c r="V65" s="94">
        <f>IF($D65="X",ROUND($G66+($H66-$G66)*(($J$12-$I$6)/($J$6-$I$6)),0),"")</f>
      </c>
      <c r="W65" s="94">
        <f>IF($D65="X",$E64,"")</f>
      </c>
      <c r="X65" s="94">
        <f>IF($D65="X",$E66,"")</f>
      </c>
    </row>
    <row r="66" spans="1:24" ht="10.5" customHeight="1">
      <c r="A66" s="80">
        <f>IF($G$4="","",IF($G$4=E66,"X",""))</f>
      </c>
      <c r="B66" s="80">
        <f>IF($G$7="","",IF($G$7=E66,"X",""))</f>
      </c>
      <c r="C66" s="80">
        <f>IF($G$10="","",IF($G$10=E66,"X",""))</f>
      </c>
      <c r="D66" s="80">
        <f>IF($G$13="","",IF($G$13=E66,"X",""))</f>
      </c>
      <c r="E66" s="80">
        <f>IF($F$15="X",'Tafel § 38'!B53,IF($F$16="X",'Tafel § 41'!B53,""))</f>
        <v>23</v>
      </c>
      <c r="F66" s="80"/>
      <c r="G66" s="80">
        <f>IF($F$15="X",'Tafel § 38'!C53,IF($F$16="X",'Tafel § 41'!C53,""))</f>
        <v>52111</v>
      </c>
      <c r="H66" s="80">
        <f>IF($F$15="X",'Tafel § 38'!D53,IF($F$16="X",'Tafel § 41'!D53,""))</f>
        <v>76121</v>
      </c>
      <c r="I66" s="80">
        <f>IF($A66="X",ROUND($G66+($H66-$G66)*(($J$12-$I$6)/($J$6-$I$6)),0),"")</f>
      </c>
      <c r="J66" s="80">
        <f>IF($A66="X",ROUND($G66+($H66-$G66)*(($J$12-$I$6)/($J$6-$I$6)),0),"")</f>
      </c>
      <c r="K66" s="80">
        <f>IF($A66="X",$E66,"")</f>
      </c>
      <c r="L66" s="80">
        <f>IF($A66="X",$E68,"")</f>
      </c>
      <c r="M66" s="80">
        <f>IF($B66="X",ROUND($G66+($H66-$G66)*(($J$12-$I$6)/($J$6-$I$6)),0),"")</f>
      </c>
      <c r="N66" s="80">
        <f>IF($B66="X",ROUND($G66+($H66-$G66)*(($J$12-$I$6)/($J$6-$I$6)),0),"")</f>
      </c>
      <c r="O66" s="80">
        <f>IF($B66="X",$E66,"")</f>
      </c>
      <c r="P66" s="80">
        <f>IF($B66="X",$E68,"")</f>
      </c>
      <c r="Q66" s="80">
        <f>IF($C66="X",ROUND($G66+($H66-$G66)*(($J$12-$I$6)/($J$6-$I$6)),0),"")</f>
      </c>
      <c r="R66" s="80">
        <f>IF($C66="X",ROUND($G66+($H66-$G66)*(($J$12-$I$6)/($J$6-$I$6)),0),"")</f>
      </c>
      <c r="S66" s="80">
        <f>IF($C66="X",$E66,"")</f>
      </c>
      <c r="T66" s="80">
        <f>IF($C66="X",$E68,"")</f>
      </c>
      <c r="U66" s="80">
        <f>IF($D66="X",ROUND($G66+($H66-$G66)*(($J$12-$I$6)/($J$6-$I$6)),0),"")</f>
      </c>
      <c r="V66" s="80">
        <f>IF($D66="X",ROUND($G66+($H66-$G66)*(($J$12-$I$6)/($J$6-$I$6)),0),"")</f>
      </c>
      <c r="W66" s="80">
        <f>IF($D66="X",$E66,"")</f>
      </c>
      <c r="X66" s="80">
        <f>IF($D66="X",$E68,"")</f>
      </c>
    </row>
    <row r="67" spans="1:24" ht="10.5" customHeight="1">
      <c r="A67" s="73">
        <f>IF($G$4=$E66,"",IF($G$4=$E68,"",IF($G$4&gt;=$E66,IF($G$4&lt;=$E68,"X",""),"")))</f>
      </c>
      <c r="B67" s="73">
        <f>IF($G$7=$E66,"",IF($G$7=$E68,"",IF($G$7&gt;=$E66,IF($G$7&lt;=$E68,"X",""),"")))</f>
      </c>
      <c r="C67" s="73">
        <f>IF($G$10=$E66,"",IF($G$10=$E68,"",IF($G$10&gt;=$E66,IF($G$10&lt;=$E68,"X",""),"")))</f>
      </c>
      <c r="D67" s="73">
        <f>IF($G$13=$E66,"",IF($G$13=$E68,"",IF($G$13&gt;=$E66,IF($G$13&lt;=$E68,"X",""),"")))</f>
      </c>
      <c r="I67" s="94">
        <f>IF($A67="X",ROUND($G66+($H66-$G66)*(($J$12-$I$6)/($J$6-$I$6)),0),"")</f>
      </c>
      <c r="J67" s="94">
        <f>IF($A67="X",ROUND($G68+($H68-$G68)*(($J$12-$I$6)/($J$6-$I$6)),0),"")</f>
      </c>
      <c r="K67" s="94">
        <f>IF($A67="X",$E66,"")</f>
      </c>
      <c r="L67" s="94">
        <f>IF($A67="X",$E68,"")</f>
      </c>
      <c r="M67" s="94">
        <f>IF($B67="X",ROUND($G66+($H66-$G66)*(($J$12-$I$6)/($J$6-$I$6)),0),"")</f>
      </c>
      <c r="N67" s="94">
        <f>IF($B67="X",ROUND($G68+($H68-$G68)*(($J$12-$I$6)/($J$6-$I$6)),0),"")</f>
      </c>
      <c r="O67" s="94">
        <f>IF($B67="X",$E66,"")</f>
      </c>
      <c r="P67" s="94">
        <f>IF($B67="X",$E68,"")</f>
      </c>
      <c r="Q67" s="94">
        <f>IF($C67="X",ROUND($G66+($H66-$G66)*(($J$12-$I$6)/($J$6-$I$6)),0),"")</f>
      </c>
      <c r="R67" s="94">
        <f>IF($C67="X",ROUND($G68+($H68-$G68)*(($J$12-$I$6)/($J$6-$I$6)),0),"")</f>
      </c>
      <c r="S67" s="94">
        <f>IF($C67="X",$E66,"")</f>
      </c>
      <c r="T67" s="94">
        <f>IF($C67="X",$E68,"")</f>
      </c>
      <c r="U67" s="94">
        <f>IF($D67="X",ROUND($G66+($H66-$G66)*(($J$12-$I$6)/($J$6-$I$6)),0),"")</f>
      </c>
      <c r="V67" s="94">
        <f>IF($D67="X",ROUND($G68+($H68-$G68)*(($J$12-$I$6)/($J$6-$I$6)),0),"")</f>
      </c>
      <c r="W67" s="94">
        <f>IF($D67="X",$E66,"")</f>
      </c>
      <c r="X67" s="94">
        <f>IF($D67="X",$E68,"")</f>
      </c>
    </row>
    <row r="68" spans="1:24" ht="10.5" customHeight="1">
      <c r="A68" s="80">
        <f>IF($G$4="","",IF($G$4=E68,"X",""))</f>
      </c>
      <c r="B68" s="80">
        <f>IF($G$7="","",IF($G$7=E68,"X",""))</f>
      </c>
      <c r="C68" s="80">
        <f>IF($G$10="","",IF($G$10=E68,"X",""))</f>
      </c>
      <c r="D68" s="80">
        <f>IF($G$13="","",IF($G$13=E68,"X",""))</f>
      </c>
      <c r="E68" s="80">
        <f>IF($F$15="X",'Tafel § 38'!B55,IF($F$16="X",'Tafel § 41'!B55,""))</f>
        <v>24</v>
      </c>
      <c r="F68" s="80"/>
      <c r="G68" s="80">
        <f>IF($F$15="X",'Tafel § 38'!C55,IF($F$16="X",'Tafel § 41'!C55,""))</f>
        <v>53911</v>
      </c>
      <c r="H68" s="80">
        <f>IF($F$15="X",'Tafel § 38'!D55,IF($F$16="X",'Tafel § 41'!D55,""))</f>
        <v>78749</v>
      </c>
      <c r="I68" s="80">
        <f>IF($A68="X",ROUND($G68+($H68-$G68)*(($J$12-$I$6)/($J$6-$I$6)),0),"")</f>
      </c>
      <c r="J68" s="80">
        <f>IF($A68="X",ROUND($G68+($H68-$G68)*(($J$12-$I$6)/($J$6-$I$6)),0),"")</f>
      </c>
      <c r="K68" s="80">
        <f>IF($A68="X",$E68,"")</f>
      </c>
      <c r="L68" s="80">
        <f>IF($A68="X",$E70,"")</f>
      </c>
      <c r="M68" s="80">
        <f>IF($B68="X",ROUND($G68+($H68-$G68)*(($J$12-$I$6)/($J$6-$I$6)),0),"")</f>
      </c>
      <c r="N68" s="80">
        <f>IF($B68="X",ROUND($G68+($H68-$G68)*(($J$12-$I$6)/($J$6-$I$6)),0),"")</f>
      </c>
      <c r="O68" s="80">
        <f>IF($B68="X",$E68,"")</f>
      </c>
      <c r="P68" s="80">
        <f>IF($B68="X",$E70,"")</f>
      </c>
      <c r="Q68" s="80">
        <f>IF($C68="X",ROUND($G68+($H68-$G68)*(($J$12-$I$6)/($J$6-$I$6)),0),"")</f>
      </c>
      <c r="R68" s="80">
        <f>IF($C68="X",ROUND($G68+($H68-$G68)*(($J$12-$I$6)/($J$6-$I$6)),0),"")</f>
      </c>
      <c r="S68" s="80">
        <f>IF($C68="X",$E68,"")</f>
      </c>
      <c r="T68" s="80">
        <f>IF($C68="X",$E70,"")</f>
      </c>
      <c r="U68" s="80">
        <f>IF($D68="X",ROUND($G68+($H68-$G68)*(($J$12-$I$6)/($J$6-$I$6)),0),"")</f>
      </c>
      <c r="V68" s="80">
        <f>IF($D68="X",ROUND($G68+($H68-$G68)*(($J$12-$I$6)/($J$6-$I$6)),0),"")</f>
      </c>
      <c r="W68" s="80">
        <f>IF($D68="X",$E68,"")</f>
      </c>
      <c r="X68" s="80">
        <f>IF($D68="X",$E70,"")</f>
      </c>
    </row>
    <row r="69" spans="1:24" ht="10.5" customHeight="1">
      <c r="A69" s="73">
        <f>IF($G$4=$E68,"",IF($G$4=$E70,"",IF($G$4&gt;=$E68,IF($G$4&lt;=$E70,"X",""),"")))</f>
      </c>
      <c r="B69" s="73">
        <f>IF($G$7=$E68,"",IF($G$7=$E70,"",IF($G$7&gt;=$E68,IF($G$7&lt;=$E70,"X",""),"")))</f>
      </c>
      <c r="C69" s="73">
        <f>IF($G$10=$E68,"",IF($G$10=$E70,"",IF($G$10&gt;=$E68,IF($G$10&lt;=$E70,"X",""),"")))</f>
      </c>
      <c r="D69" s="73">
        <f>IF($G$13=$E68,"",IF($G$13=$E70,"",IF($G$13&gt;=$E68,IF($G$13&lt;=$E70,"X",""),"")))</f>
      </c>
      <c r="I69" s="94">
        <f>IF($A69="X",ROUND($G68+($H68-$G68)*(($J$12-$I$6)/($J$6-$I$6)),0),"")</f>
      </c>
      <c r="J69" s="94">
        <f>IF($A69="X",ROUND($G70+($H70-$G70)*(($J$12-$I$6)/($J$6-$I$6)),0),"")</f>
      </c>
      <c r="K69" s="94">
        <f>IF($A69="X",$E68,"")</f>
      </c>
      <c r="L69" s="94">
        <f>IF($A69="X",$E70,"")</f>
      </c>
      <c r="M69" s="94">
        <f>IF($B69="X",ROUND($G68+($H68-$G68)*(($J$12-$I$6)/($J$6-$I$6)),0),"")</f>
      </c>
      <c r="N69" s="94">
        <f>IF($B69="X",ROUND($G70+($H70-$G70)*(($J$12-$I$6)/($J$6-$I$6)),0),"")</f>
      </c>
      <c r="O69" s="94">
        <f>IF($B69="X",$E68,"")</f>
      </c>
      <c r="P69" s="94">
        <f>IF($B69="X",$E70,"")</f>
      </c>
      <c r="Q69" s="94">
        <f>IF($C69="X",ROUND($G68+($H68-$G68)*(($J$12-$I$6)/($J$6-$I$6)),0),"")</f>
      </c>
      <c r="R69" s="94">
        <f>IF($C69="X",ROUND($G70+($H70-$G70)*(($J$12-$I$6)/($J$6-$I$6)),0),"")</f>
      </c>
      <c r="S69" s="94">
        <f>IF($C69="X",$E68,"")</f>
      </c>
      <c r="T69" s="94">
        <f>IF($C69="X",$E70,"")</f>
      </c>
      <c r="U69" s="94">
        <f>IF($D69="X",ROUND($G68+($H68-$G68)*(($J$12-$I$6)/($J$6-$I$6)),0),"")</f>
      </c>
      <c r="V69" s="94">
        <f>IF($D69="X",ROUND($G70+($H70-$G70)*(($J$12-$I$6)/($J$6-$I$6)),0),"")</f>
      </c>
      <c r="W69" s="94">
        <f>IF($D69="X",$E68,"")</f>
      </c>
      <c r="X69" s="94">
        <f>IF($D69="X",$E70,"")</f>
      </c>
    </row>
    <row r="70" spans="1:24" ht="10.5" customHeight="1">
      <c r="A70" s="80">
        <f>IF($G$4="","",IF($G$4=E70,"X",""))</f>
      </c>
      <c r="B70" s="80">
        <f>IF($G$7="","",IF($G$7=E70,"X",""))</f>
      </c>
      <c r="C70" s="80">
        <f>IF($G$10="","",IF($G$10=E70,"X",""))</f>
      </c>
      <c r="D70" s="80">
        <f>IF($G$13="","",IF($G$13=E70,"X",""))</f>
      </c>
      <c r="E70" s="80">
        <f>IF($F$15="X",'Tafel § 38'!B57,IF($F$16="X",'Tafel § 41'!B57,""))</f>
        <v>25</v>
      </c>
      <c r="F70" s="80"/>
      <c r="G70" s="80">
        <f>IF($F$15="X",'Tafel § 38'!C57,IF($F$16="X",'Tafel § 41'!C57,""))</f>
        <v>55715</v>
      </c>
      <c r="H70" s="80">
        <f>IF($F$15="X",'Tafel § 38'!D57,IF($F$16="X",'Tafel § 41'!D57,""))</f>
        <v>81387</v>
      </c>
      <c r="I70" s="80">
        <f>IF($A70="X",ROUND($G70+($H70-$G70)*(($J$12-$I$6)/($J$6-$I$6)),0),"")</f>
      </c>
      <c r="J70" s="80">
        <f>IF($A70="X",ROUND($G70+($H70-$G70)*(($J$12-$I$6)/($J$6-$I$6)),0),"")</f>
      </c>
      <c r="K70" s="80">
        <f>IF($A70="X",$E70,"")</f>
      </c>
      <c r="L70" s="80">
        <f>IF($A70="X",$E72,"")</f>
      </c>
      <c r="M70" s="80">
        <f>IF($B70="X",ROUND($G70+($H70-$G70)*(($J$12-$I$6)/($J$6-$I$6)),0),"")</f>
      </c>
      <c r="N70" s="80">
        <f>IF($B70="X",ROUND($G70+($H70-$G70)*(($J$12-$I$6)/($J$6-$I$6)),0),"")</f>
      </c>
      <c r="O70" s="80">
        <f>IF($B70="X",$E70,"")</f>
      </c>
      <c r="P70" s="80">
        <f>IF($B70="X",$E72,"")</f>
      </c>
      <c r="Q70" s="80">
        <f>IF($C70="X",ROUND($G70+($H70-$G70)*(($J$12-$I$6)/($J$6-$I$6)),0),"")</f>
      </c>
      <c r="R70" s="80">
        <f>IF($C70="X",ROUND($G70+($H70-$G70)*(($J$12-$I$6)/($J$6-$I$6)),0),"")</f>
      </c>
      <c r="S70" s="80">
        <f>IF($C70="X",$E70,"")</f>
      </c>
      <c r="T70" s="80">
        <f>IF($C70="X",$E72,"")</f>
      </c>
      <c r="U70" s="80">
        <f>IF($D70="X",ROUND($G70+($H70-$G70)*(($J$12-$I$6)/($J$6-$I$6)),0),"")</f>
      </c>
      <c r="V70" s="80">
        <f>IF($D70="X",ROUND($G70+($H70-$G70)*(($J$12-$I$6)/($J$6-$I$6)),0),"")</f>
      </c>
      <c r="W70" s="80">
        <f>IF($D70="X",$E70,"")</f>
      </c>
      <c r="X70" s="80">
        <f>IF($D70="X",$E72,"")</f>
      </c>
    </row>
    <row r="71" spans="1:24" ht="10.5" customHeight="1">
      <c r="A71" s="73">
        <f>IF($G$4=$E70,"",IF($G$4=$E72,"",IF($G$4&gt;=$E70,IF($G$4&lt;=$E72,"X",""),"")))</f>
      </c>
      <c r="B71" s="73">
        <f>IF($G$7=$E70,"",IF($G$7=$E72,"",IF($G$7&gt;=$E70,IF($G$7&lt;=$E72,"X",""),"")))</f>
      </c>
      <c r="C71" s="73">
        <f>IF($G$10=$E70,"",IF($G$10=$E72,"",IF($G$10&gt;=$E70,IF($G$10&lt;=$E72,"X",""),"")))</f>
      </c>
      <c r="D71" s="73">
        <f>IF($G$13=$E70,"",IF($G$13=$E72,"",IF($G$13&gt;=$E70,IF($G$13&lt;=$E72,"X",""),"")))</f>
      </c>
      <c r="I71" s="94">
        <f>IF($A71="X",ROUND($G70+($H70-$G70)*(($J$12-$I$6)/($J$6-$I$6)),0),"")</f>
      </c>
      <c r="J71" s="94">
        <f>IF($A71="X",ROUND($G72+($H72-$G72)*(($J$12-$I$6)/($J$6-$I$6)),0),"")</f>
      </c>
      <c r="K71" s="94">
        <f>IF($A71="X",$E70,"")</f>
      </c>
      <c r="L71" s="94">
        <f>IF($A71="X",$E72,"")</f>
      </c>
      <c r="M71" s="94">
        <f>IF($B71="X",ROUND($G70+($H70-$G70)*(($J$12-$I$6)/($J$6-$I$6)),0),"")</f>
      </c>
      <c r="N71" s="94">
        <f>IF($B71="X",ROUND($G72+($H72-$G72)*(($J$12-$I$6)/($J$6-$I$6)),0),"")</f>
      </c>
      <c r="O71" s="94">
        <f>IF($B71="X",$E70,"")</f>
      </c>
      <c r="P71" s="94">
        <f>IF($B71="X",$E72,"")</f>
      </c>
      <c r="Q71" s="94">
        <f>IF($C71="X",ROUND($G70+($H70-$G70)*(($J$12-$I$6)/($J$6-$I$6)),0),"")</f>
      </c>
      <c r="R71" s="94">
        <f>IF($C71="X",ROUND($G72+($H72-$G72)*(($J$12-$I$6)/($J$6-$I$6)),0),"")</f>
      </c>
      <c r="S71" s="94">
        <f>IF($C71="X",$E70,"")</f>
      </c>
      <c r="T71" s="94">
        <f>IF($C71="X",$E72,"")</f>
      </c>
      <c r="U71" s="94">
        <f>IF($D71="X",ROUND($G70+($H70-$G70)*(($J$12-$I$6)/($J$6-$I$6)),0),"")</f>
      </c>
      <c r="V71" s="94">
        <f>IF($D71="X",ROUND($G72+($H72-$G72)*(($J$12-$I$6)/($J$6-$I$6)),0),"")</f>
      </c>
      <c r="W71" s="94">
        <f>IF($D71="X",$E70,"")</f>
      </c>
      <c r="X71" s="94">
        <f>IF($D71="X",$E72,"")</f>
      </c>
    </row>
    <row r="72" spans="1:24" ht="10.5" customHeight="1">
      <c r="A72" s="80">
        <f>IF($G$4="","",IF($G$4=E72,"X",""))</f>
      </c>
      <c r="B72" s="80">
        <f>IF($G$7="","",IF($G$7=E72,"X",""))</f>
      </c>
      <c r="C72" s="80">
        <f>IF($G$10="","",IF($G$10=E72,"X",""))</f>
      </c>
      <c r="D72" s="80">
        <f>IF($G$13="","",IF($G$13=E72,"X",""))</f>
      </c>
      <c r="E72" s="80">
        <f>IF($F$15="X",'Tafel § 38'!B59,IF($F$16="X",'Tafel § 41'!B59,""))</f>
        <v>30</v>
      </c>
      <c r="F72" s="80"/>
      <c r="G72" s="80">
        <f>IF($F$15="X",'Tafel § 38'!C59,IF($F$16="X",'Tafel § 41'!C59,""))</f>
        <v>64806</v>
      </c>
      <c r="H72" s="80">
        <f>IF($F$15="X",'Tafel § 38'!D59,IF($F$16="X",'Tafel § 41'!D59,""))</f>
        <v>94942</v>
      </c>
      <c r="I72" s="80">
        <f>IF($A72="X",ROUND($G72+($H72-$G72)*(($J$12-$I$6)/($J$6-$I$6)),0),"")</f>
      </c>
      <c r="J72" s="80">
        <f>IF($A72="X",ROUND($G72+($H72-$G72)*(($J$12-$I$6)/($J$6-$I$6)),0),"")</f>
      </c>
      <c r="K72" s="80">
        <f>IF($A72="X",$E72,"")</f>
      </c>
      <c r="L72" s="80">
        <f>IF($A72="X",$E74,"")</f>
      </c>
      <c r="M72" s="80">
        <f>IF($B72="X",ROUND($G72+($H72-$G72)*(($J$12-$I$6)/($J$6-$I$6)),0),"")</f>
      </c>
      <c r="N72" s="80">
        <f>IF($B72="X",ROUND($G72+($H72-$G72)*(($J$12-$I$6)/($J$6-$I$6)),0),"")</f>
      </c>
      <c r="O72" s="80">
        <f>IF($B72="X",$E72,"")</f>
      </c>
      <c r="P72" s="80">
        <f>IF($B72="X",$E74,"")</f>
      </c>
      <c r="Q72" s="80">
        <f>IF($C72="X",ROUND($G72+($H72-$G72)*(($J$12-$I$6)/($J$6-$I$6)),0),"")</f>
      </c>
      <c r="R72" s="80">
        <f>IF($C72="X",ROUND($G72+($H72-$G72)*(($J$12-$I$6)/($J$6-$I$6)),0),"")</f>
      </c>
      <c r="S72" s="80">
        <f>IF($C72="X",$E72,"")</f>
      </c>
      <c r="T72" s="80">
        <f>IF($C72="X",$E74,"")</f>
      </c>
      <c r="U72" s="80">
        <f>IF($D72="X",ROUND($G72+($H72-$G72)*(($J$12-$I$6)/($J$6-$I$6)),0),"")</f>
      </c>
      <c r="V72" s="80">
        <f>IF($D72="X",ROUND($G72+($H72-$G72)*(($J$12-$I$6)/($J$6-$I$6)),0),"")</f>
      </c>
      <c r="W72" s="80">
        <f>IF($D72="X",$E72,"")</f>
      </c>
      <c r="X72" s="80">
        <f>IF($D72="X",$E74,"")</f>
      </c>
    </row>
    <row r="73" spans="1:24" ht="10.5" customHeight="1">
      <c r="A73" s="73">
        <f>IF($G$4=$E72,"",IF($G$4=$E74,"",IF($G$4&gt;=$E72,IF($G$4&lt;=$E74,"X",""),"")))</f>
      </c>
      <c r="B73" s="73">
        <f>IF($G$7=$E72,"",IF($G$7=$E74,"",IF($G$7&gt;=$E72,IF($G$7&lt;=$E74,"X",""),"")))</f>
      </c>
      <c r="C73" s="73">
        <f>IF($G$10=$E72,"",IF($G$10=$E74,"",IF($G$10&gt;=$E72,IF($G$10&lt;=$E74,"X",""),"")))</f>
      </c>
      <c r="D73" s="73">
        <f>IF($G$13=$E72,"",IF($G$13=$E74,"",IF($G$13&gt;=$E72,IF($G$13&lt;=$E74,"X",""),"")))</f>
      </c>
      <c r="I73" s="94">
        <f>IF($A73="X",ROUND($G72+($H72-$G72)*(($J$12-$I$6)/($J$6-$I$6)),0),"")</f>
      </c>
      <c r="J73" s="94">
        <f>IF($A73="X",ROUND($G74+($H74-$G74)*(($J$12-$I$6)/($J$6-$I$6)),0),"")</f>
      </c>
      <c r="K73" s="94">
        <f>IF($A73="X",$E72,"")</f>
      </c>
      <c r="L73" s="94">
        <f>IF($A73="X",$E74,"")</f>
      </c>
      <c r="M73" s="94">
        <f>IF($B73="X",ROUND($G72+($H72-$G72)*(($J$12-$I$6)/($J$6-$I$6)),0),"")</f>
      </c>
      <c r="N73" s="94">
        <f>IF($B73="X",ROUND($G74+($H74-$G74)*(($J$12-$I$6)/($J$6-$I$6)),0),"")</f>
      </c>
      <c r="O73" s="94">
        <f>IF($B73="X",$E72,"")</f>
      </c>
      <c r="P73" s="94">
        <f>IF($B73="X",$E74,"")</f>
      </c>
      <c r="Q73" s="94">
        <f>IF($C73="X",ROUND($G72+($H72-$G72)*(($J$12-$I$6)/($J$6-$I$6)),0),"")</f>
      </c>
      <c r="R73" s="94">
        <f>IF($C73="X",ROUND($G74+($H74-$G74)*(($J$12-$I$6)/($J$6-$I$6)),0),"")</f>
      </c>
      <c r="S73" s="94">
        <f>IF($C73="X",$E72,"")</f>
      </c>
      <c r="T73" s="94">
        <f>IF($C73="X",$E74,"")</f>
      </c>
      <c r="U73" s="94">
        <f>IF($D73="X",ROUND($G72+($H72-$G72)*(($J$12-$I$6)/($J$6-$I$6)),0),"")</f>
      </c>
      <c r="V73" s="94">
        <f>IF($D73="X",ROUND($G74+($H74-$G74)*(($J$12-$I$6)/($J$6-$I$6)),0),"")</f>
      </c>
      <c r="W73" s="94">
        <f>IF($D73="X",$E72,"")</f>
      </c>
      <c r="X73" s="94">
        <f>IF($D73="X",$E74,"")</f>
      </c>
    </row>
    <row r="74" spans="1:24" ht="10.5" customHeight="1">
      <c r="A74" s="80">
        <f>IF($G$4="","",IF($G$4=E74,"X",""))</f>
      </c>
      <c r="B74" s="80">
        <f>IF($G$7="","",IF($G$7=E74,"X",""))</f>
      </c>
      <c r="C74" s="80">
        <f>IF($G$10="","",IF($G$10=E74,"X",""))</f>
      </c>
      <c r="D74" s="80">
        <f>IF($G$13="","",IF($G$13=E74,"X",""))</f>
      </c>
      <c r="E74" s="80">
        <f>IF($F$15="X",'Tafel § 38'!B61,IF($F$16="X",'Tafel § 41'!B61,""))</f>
        <v>35</v>
      </c>
      <c r="F74" s="80"/>
      <c r="G74" s="80">
        <f>IF($F$15="X",'Tafel § 38'!C61,IF($F$16="X",'Tafel § 41'!C61,""))</f>
        <v>73733</v>
      </c>
      <c r="H74" s="80">
        <f>IF($F$15="X",'Tafel § 38'!D61,IF($F$16="X",'Tafel § 41'!D61,""))</f>
        <v>108353</v>
      </c>
      <c r="I74" s="80">
        <f>IF($A74="X",ROUND($G74+($H74-$G74)*(($J$12-$I$6)/($J$6-$I$6)),0),"")</f>
      </c>
      <c r="J74" s="80">
        <f>IF($A74="X",ROUND($G74+($H74-$G74)*(($J$12-$I$6)/($J$6-$I$6)),0),"")</f>
      </c>
      <c r="K74" s="80">
        <f>IF($A74="X",$E74,"")</f>
      </c>
      <c r="L74" s="80">
        <f>IF($A74="X",$E76,"")</f>
      </c>
      <c r="M74" s="80">
        <f>IF($B74="X",ROUND($G74+($H74-$G74)*(($J$12-$I$6)/($J$6-$I$6)),0),"")</f>
      </c>
      <c r="N74" s="80">
        <f>IF($B74="X",ROUND($G74+($H74-$G74)*(($J$12-$I$6)/($J$6-$I$6)),0),"")</f>
      </c>
      <c r="O74" s="80">
        <f>IF($B74="X",$E74,"")</f>
      </c>
      <c r="P74" s="80">
        <f>IF($B74="X",$E76,"")</f>
      </c>
      <c r="Q74" s="80">
        <f>IF($C74="X",ROUND($G74+($H74-$G74)*(($J$12-$I$6)/($J$6-$I$6)),0),"")</f>
      </c>
      <c r="R74" s="80">
        <f>IF($C74="X",ROUND($G74+($H74-$G74)*(($J$12-$I$6)/($J$6-$I$6)),0),"")</f>
      </c>
      <c r="S74" s="80">
        <f>IF($C74="X",$E74,"")</f>
      </c>
      <c r="T74" s="80">
        <f>IF($C74="X",$E76,"")</f>
      </c>
      <c r="U74" s="80">
        <f>IF($D74="X",ROUND($G74+($H74-$G74)*(($J$12-$I$6)/($J$6-$I$6)),0),"")</f>
      </c>
      <c r="V74" s="80">
        <f>IF($D74="X",ROUND($G74+($H74-$G74)*(($J$12-$I$6)/($J$6-$I$6)),0),"")</f>
      </c>
      <c r="W74" s="80">
        <f>IF($D74="X",$E74,"")</f>
      </c>
      <c r="X74" s="80">
        <f>IF($D74="X",$E76,"")</f>
      </c>
    </row>
    <row r="75" spans="1:24" ht="10.5" customHeight="1">
      <c r="A75" s="73">
        <f>IF($G$4=$E74,"",IF($G$4=$E76,"",IF($G$4&gt;=$E74,IF($G$4&lt;=$E76,"X",""),"")))</f>
      </c>
      <c r="B75" s="73">
        <f>IF($G$7=$E74,"",IF($G$7=$E76,"",IF($G$7&gt;=$E74,IF($G$7&lt;=$E76,"X",""),"")))</f>
      </c>
      <c r="C75" s="73">
        <f>IF($G$10=$E74,"",IF($G$10=$E76,"",IF($G$10&gt;=$E74,IF($G$10&lt;=$E76,"X",""),"")))</f>
      </c>
      <c r="D75" s="73">
        <f>IF($G$13=$E74,"",IF($G$13=$E76,"",IF($G$13&gt;=$E74,IF($G$13&lt;=$E76,"X",""),"")))</f>
      </c>
      <c r="I75" s="94">
        <f>IF($A75="X",ROUND($G74+($H74-$G74)*(($J$12-$I$6)/($J$6-$I$6)),0),"")</f>
      </c>
      <c r="J75" s="94">
        <f>IF($A75="X",ROUND($G76+($H76-$G76)*(($J$12-$I$6)/($J$6-$I$6)),0),"")</f>
      </c>
      <c r="K75" s="94">
        <f>IF($A75="X",$E74,"")</f>
      </c>
      <c r="L75" s="94">
        <f>IF($A75="X",$E76,"")</f>
      </c>
      <c r="M75" s="94">
        <f>IF($B75="X",ROUND($G74+($H74-$G74)*(($J$12-$I$6)/($J$6-$I$6)),0),"")</f>
      </c>
      <c r="N75" s="94">
        <f>IF($B75="X",ROUND($G76+($H76-$G76)*(($J$12-$I$6)/($J$6-$I$6)),0),"")</f>
      </c>
      <c r="O75" s="94">
        <f>IF($B75="X",$E74,"")</f>
      </c>
      <c r="P75" s="94">
        <f>IF($B75="X",$E76,"")</f>
      </c>
      <c r="Q75" s="94">
        <f>IF($C75="X",ROUND($G74+($H74-$G74)*(($J$12-$I$6)/($J$6-$I$6)),0),"")</f>
      </c>
      <c r="R75" s="94">
        <f>IF($C75="X",ROUND($G76+($H76-$G76)*(($J$12-$I$6)/($J$6-$I$6)),0),"")</f>
      </c>
      <c r="S75" s="94">
        <f>IF($C75="X",$E74,"")</f>
      </c>
      <c r="T75" s="94">
        <f>IF($C75="X",$E76,"")</f>
      </c>
      <c r="U75" s="94">
        <f>IF($D75="X",ROUND($G74+($H74-$G74)*(($J$12-$I$6)/($J$6-$I$6)),0),"")</f>
      </c>
      <c r="V75" s="94">
        <f>IF($D75="X",ROUND($G76+($H76-$G76)*(($J$12-$I$6)/($J$6-$I$6)),0),"")</f>
      </c>
      <c r="W75" s="94">
        <f>IF($D75="X",$E74,"")</f>
      </c>
      <c r="X75" s="94">
        <f>IF($D75="X",$E76,"")</f>
      </c>
    </row>
    <row r="76" spans="1:24" ht="10.5" customHeight="1">
      <c r="A76" s="80">
        <f>IF($G$4="","",IF($G$4=E76,"X",""))</f>
      </c>
      <c r="B76" s="80">
        <f>IF($G$7="","",IF($G$7=E76,"X",""))</f>
      </c>
      <c r="C76" s="80">
        <f>IF($G$10="","",IF($G$10=E76,"X",""))</f>
      </c>
      <c r="D76" s="80">
        <f>IF($G$13="","",IF($G$13=E76,"X",""))</f>
      </c>
      <c r="E76" s="80">
        <f>IF($F$15="X",'Tafel § 38'!B63,IF($F$16="X",'Tafel § 41'!B63,""))</f>
        <v>40</v>
      </c>
      <c r="F76" s="80"/>
      <c r="G76" s="80">
        <f>IF($F$15="X",'Tafel § 38'!C63,IF($F$16="X",'Tafel § 41'!C63,""))</f>
        <v>82267</v>
      </c>
      <c r="H76" s="80">
        <f>IF($F$15="X",'Tafel § 38'!D63,IF($F$16="X",'Tafel § 41'!D63,""))</f>
        <v>121105</v>
      </c>
      <c r="I76" s="80">
        <f>IF($A76="X",ROUND($G76+($H76-$G76)*(($J$12-$I$6)/($J$6-$I$6)),0),"")</f>
      </c>
      <c r="J76" s="80">
        <f>IF($A76="X",ROUND($G76+($H76-$G76)*(($J$12-$I$6)/($J$6-$I$6)),0),"")</f>
      </c>
      <c r="K76" s="80">
        <f>IF($A76="X",$E76,"")</f>
      </c>
      <c r="L76" s="80">
        <f>IF($A76="X",$E78,"")</f>
      </c>
      <c r="M76" s="80">
        <f>IF($B76="X",ROUND($G76+($H76-$G76)*(($J$12-$I$6)/($J$6-$I$6)),0),"")</f>
      </c>
      <c r="N76" s="80">
        <f>IF($B76="X",ROUND($G76+($H76-$G76)*(($J$12-$I$6)/($J$6-$I$6)),0),"")</f>
      </c>
      <c r="O76" s="80">
        <f>IF($B76="X",$E76,"")</f>
      </c>
      <c r="P76" s="80">
        <f>IF($B76="X",$E78,"")</f>
      </c>
      <c r="Q76" s="80">
        <f>IF($C76="X",ROUND($G76+($H76-$G76)*(($J$12-$I$6)/($J$6-$I$6)),0),"")</f>
      </c>
      <c r="R76" s="80">
        <f>IF($C76="X",ROUND($G76+($H76-$G76)*(($J$12-$I$6)/($J$6-$I$6)),0),"")</f>
      </c>
      <c r="S76" s="80">
        <f>IF($C76="X",$E76,"")</f>
      </c>
      <c r="T76" s="80">
        <f>IF($C76="X",$E78,"")</f>
      </c>
      <c r="U76" s="80">
        <f>IF($D76="X",ROUND($G76+($H76-$G76)*(($J$12-$I$6)/($J$6-$I$6)),0),"")</f>
      </c>
      <c r="V76" s="80">
        <f>IF($D76="X",ROUND($G76+($H76-$G76)*(($J$12-$I$6)/($J$6-$I$6)),0),"")</f>
      </c>
      <c r="W76" s="80">
        <f>IF($D76="X",$E76,"")</f>
      </c>
      <c r="X76" s="80">
        <f>IF($D76="X",$E78,"")</f>
      </c>
    </row>
    <row r="77" spans="1:24" ht="10.5" customHeight="1">
      <c r="A77" s="73">
        <f>IF($G$4=$E76,"",IF($G$4=$E78,"",IF($G$4&gt;=$E76,IF($G$4&lt;=$E78,"X",""),"")))</f>
      </c>
      <c r="B77" s="73">
        <f>IF($G$7=$E76,"",IF($G$7=$E78,"",IF($G$7&gt;=$E76,IF($G$7&lt;=$E78,"X",""),"")))</f>
      </c>
      <c r="C77" s="73">
        <f>IF($G$10=$E76,"",IF($G$10=$E78,"",IF($G$10&gt;=$E76,IF($G$10&lt;=$E78,"X",""),"")))</f>
      </c>
      <c r="D77" s="73">
        <f>IF($G$13=$E76,"",IF($G$13=$E78,"",IF($G$13&gt;=$E76,IF($G$13&lt;=$E78,"X",""),"")))</f>
      </c>
      <c r="I77" s="94">
        <f>IF($A77="X",ROUND($G76+($H76-$G76)*(($J$12-$I$6)/($J$6-$I$6)),0),"")</f>
      </c>
      <c r="J77" s="94">
        <f>IF($A77="X",ROUND($G78+($H78-$G78)*(($J$12-$I$6)/($J$6-$I$6)),0),"")</f>
      </c>
      <c r="K77" s="94">
        <f>IF($A77="X",$E76,"")</f>
      </c>
      <c r="L77" s="94">
        <f>IF($A77="X",$E78,"")</f>
      </c>
      <c r="M77" s="94">
        <f>IF($B77="X",ROUND($G76+($H76-$G76)*(($J$12-$I$6)/($J$6-$I$6)),0),"")</f>
      </c>
      <c r="N77" s="94">
        <f>IF($B77="X",ROUND($G78+($H78-$G78)*(($J$12-$I$6)/($J$6-$I$6)),0),"")</f>
      </c>
      <c r="O77" s="94">
        <f>IF($B77="X",$E76,"")</f>
      </c>
      <c r="P77" s="94">
        <f>IF($B77="X",$E78,"")</f>
      </c>
      <c r="Q77" s="94">
        <f>IF($C77="X",ROUND($G76+($H76-$G76)*(($J$12-$I$6)/($J$6-$I$6)),0),"")</f>
      </c>
      <c r="R77" s="94">
        <f>IF($C77="X",ROUND($G78+($H78-$G78)*(($J$12-$I$6)/($J$6-$I$6)),0),"")</f>
      </c>
      <c r="S77" s="94">
        <f>IF($C77="X",$E76,"")</f>
      </c>
      <c r="T77" s="94">
        <f>IF($C77="X",$E78,"")</f>
      </c>
      <c r="U77" s="94">
        <f>IF($D77="X",ROUND($G76+($H76-$G76)*(($J$12-$I$6)/($J$6-$I$6)),0),"")</f>
      </c>
      <c r="V77" s="94">
        <f>IF($D77="X",ROUND($G78+($H78-$G78)*(($J$12-$I$6)/($J$6-$I$6)),0),"")</f>
      </c>
      <c r="W77" s="94">
        <f>IF($D77="X",$E76,"")</f>
      </c>
      <c r="X77" s="94">
        <f>IF($D77="X",$E78,"")</f>
      </c>
    </row>
    <row r="78" spans="1:24" ht="10.5" customHeight="1">
      <c r="A78" s="80">
        <f>IF($G$4="","",IF($G$4=E78,"X",""))</f>
      </c>
      <c r="B78" s="80">
        <f>IF($G$7="","",IF($G$7=E78,"X",""))</f>
      </c>
      <c r="C78" s="80">
        <f>IF($G$10="","",IF($G$10=E78,"X",""))</f>
      </c>
      <c r="D78" s="80">
        <f>IF($G$13="","",IF($G$13=E78,"X",""))</f>
      </c>
      <c r="E78" s="80">
        <f>IF($F$15="X",'Tafel § 38'!B65,IF($F$16="X",'Tafel § 41'!B65,""))</f>
        <v>45</v>
      </c>
      <c r="F78" s="80"/>
      <c r="G78" s="80">
        <f>IF($F$15="X",'Tafel § 38'!C65,IF($F$16="X",'Tafel § 41'!C65,""))</f>
        <v>90177</v>
      </c>
      <c r="H78" s="80">
        <f>IF($F$15="X",'Tafel § 38'!D65,IF($F$16="X",'Tafel § 41'!D65,""))</f>
        <v>132829</v>
      </c>
      <c r="I78" s="80">
        <f>IF($A78="X",ROUND($G78+($H78-$G78)*(($J$12-$I$6)/($J$6-$I$6)),0),"")</f>
      </c>
      <c r="J78" s="80">
        <f>IF($A78="X",ROUND($G78+($H78-$G78)*(($J$12-$I$6)/($J$6-$I$6)),0),"")</f>
      </c>
      <c r="K78" s="80">
        <f>IF($A78="X",$E78,"")</f>
      </c>
      <c r="L78" s="80">
        <f>IF($A78="X",$E80,"")</f>
      </c>
      <c r="M78" s="80">
        <f>IF($B78="X",ROUND($G78+($H78-$G78)*(($J$12-$I$6)/($J$6-$I$6)),0),"")</f>
      </c>
      <c r="N78" s="80">
        <f>IF($B78="X",ROUND($G78+($H78-$G78)*(($J$12-$I$6)/($J$6-$I$6)),0),"")</f>
      </c>
      <c r="O78" s="80">
        <f>IF($B78="X",$E78,"")</f>
      </c>
      <c r="P78" s="80">
        <f>IF($B78="X",$E80,"")</f>
      </c>
      <c r="Q78" s="80">
        <f>IF($C78="X",ROUND($G78+($H78-$G78)*(($J$12-$I$6)/($J$6-$I$6)),0),"")</f>
      </c>
      <c r="R78" s="80">
        <f>IF($C78="X",ROUND($G78+($H78-$G78)*(($J$12-$I$6)/($J$6-$I$6)),0),"")</f>
      </c>
      <c r="S78" s="80">
        <f>IF($C78="X",$E78,"")</f>
      </c>
      <c r="T78" s="80">
        <f>IF($C78="X",$E80,"")</f>
      </c>
      <c r="U78" s="80">
        <f>IF($D78="X",ROUND($G78+($H78-$G78)*(($J$12-$I$6)/($J$6-$I$6)),0),"")</f>
      </c>
      <c r="V78" s="80">
        <f>IF($D78="X",ROUND($G78+($H78-$G78)*(($J$12-$I$6)/($J$6-$I$6)),0),"")</f>
      </c>
      <c r="W78" s="80">
        <f>IF($D78="X",$E78,"")</f>
      </c>
      <c r="X78" s="80">
        <f>IF($D78="X",$E80,"")</f>
      </c>
    </row>
    <row r="79" spans="1:24" ht="10.5" customHeight="1">
      <c r="A79" s="73">
        <f>IF($G$4=$E78,"",IF($G$4=$E80,"",IF($G$4&gt;=$E78,IF($G$4&lt;=$E80,"X",""),"")))</f>
      </c>
      <c r="B79" s="73">
        <f>IF($G$7=$E78,"",IF($G$7=$E80,"",IF($G$7&gt;=$E78,IF($G$7&lt;=$E80,"X",""),"")))</f>
      </c>
      <c r="C79" s="73">
        <f>IF($G$10=$E78,"",IF($G$10=$E80,"",IF($G$10&gt;=$E78,IF($G$10&lt;=$E80,"X",""),"")))</f>
      </c>
      <c r="D79" s="73">
        <f>IF($G$13=$E78,"",IF($G$13=$E80,"",IF($G$13&gt;=$E78,IF($G$13&lt;=$E80,"X",""),"")))</f>
      </c>
      <c r="I79" s="94">
        <f>IF($A79="X",ROUND($G78+($H78-$G78)*(($J$12-$I$6)/($J$6-$I$6)),0),"")</f>
      </c>
      <c r="J79" s="94">
        <f>IF($A79="X",ROUND($G80+($H80-$G80)*(($J$12-$I$6)/($J$6-$I$6)),0),"")</f>
      </c>
      <c r="K79" s="94">
        <f>IF($A79="X",$E78,"")</f>
      </c>
      <c r="L79" s="94">
        <f>IF($A79="X",$E80,"")</f>
      </c>
      <c r="M79" s="94">
        <f>IF($B79="X",ROUND($G78+($H78-$G78)*(($J$12-$I$6)/($J$6-$I$6)),0),"")</f>
      </c>
      <c r="N79" s="94">
        <f>IF($B79="X",ROUND($G80+($H80-$G80)*(($J$12-$I$6)/($J$6-$I$6)),0),"")</f>
      </c>
      <c r="O79" s="94">
        <f>IF($B79="X",$E78,"")</f>
      </c>
      <c r="P79" s="94">
        <f>IF($B79="X",$E80,"")</f>
      </c>
      <c r="Q79" s="94">
        <f>IF($C79="X",ROUND($G78+($H78-$G78)*(($J$12-$I$6)/($J$6-$I$6)),0),"")</f>
      </c>
      <c r="R79" s="94">
        <f>IF($C79="X",ROUND($G80+($H80-$G80)*(($J$12-$I$6)/($J$6-$I$6)),0),"")</f>
      </c>
      <c r="S79" s="94">
        <f>IF($C79="X",$E78,"")</f>
      </c>
      <c r="T79" s="94">
        <f>IF($C79="X",$E80,"")</f>
      </c>
      <c r="U79" s="94">
        <f>IF($D79="X",ROUND($G78+($H78-$G78)*(($J$12-$I$6)/($J$6-$I$6)),0),"")</f>
      </c>
      <c r="V79" s="94">
        <f>IF($D79="X",ROUND($G80+($H80-$G80)*(($J$12-$I$6)/($J$6-$I$6)),0),"")</f>
      </c>
      <c r="W79" s="94">
        <f>IF($D79="X",$E78,"")</f>
      </c>
      <c r="X79" s="94">
        <f>IF($D79="X",$E80,"")</f>
      </c>
    </row>
    <row r="80" spans="1:24" ht="10.5" customHeight="1">
      <c r="A80" s="80">
        <f>IF($G$4="","",IF($G$4=E80,"X",""))</f>
      </c>
      <c r="B80" s="80">
        <f>IF($G$7="","",IF($G$7=E80,"X",""))</f>
      </c>
      <c r="C80" s="80">
        <f>IF($G$10="","",IF($G$10=E80,"X",""))</f>
      </c>
      <c r="D80" s="80">
        <f>IF($G$13="","",IF($G$13=E80,"X",""))</f>
      </c>
      <c r="E80" s="80">
        <f>IF($F$15="X",'Tafel § 38'!B67,IF($F$16="X",'Tafel § 41'!B67,""))</f>
        <v>50</v>
      </c>
      <c r="F80" s="80"/>
      <c r="G80" s="80">
        <f>IF($F$15="X",'Tafel § 38'!C67,IF($F$16="X",'Tafel § 41'!C67,""))</f>
        <v>97682</v>
      </c>
      <c r="H80" s="80">
        <f>IF($F$15="X",'Tafel § 38'!D67,IF($F$16="X",'Tafel § 41'!D67,""))</f>
        <v>143903</v>
      </c>
      <c r="I80" s="80">
        <f>IF($A80="X",ROUND($G80+($H80-$G80)*(($J$12-$I$6)/($J$6-$I$6)),0),"")</f>
      </c>
      <c r="J80" s="80">
        <f>IF($A80="X",ROUND($G80+($H80-$G80)*(($J$12-$I$6)/($J$6-$I$6)),0),"")</f>
      </c>
      <c r="K80" s="80">
        <f>IF($A80="X",$E80,"")</f>
      </c>
      <c r="L80" s="80">
        <f>IF($A80="X",$E82,"")</f>
      </c>
      <c r="M80" s="80">
        <f>IF($B80="X",ROUND($G80+($H80-$G80)*(($J$12-$I$6)/($J$6-$I$6)),0),"")</f>
      </c>
      <c r="N80" s="80">
        <f>IF($B80="X",ROUND($G80+($H80-$G80)*(($J$12-$I$6)/($J$6-$I$6)),0),"")</f>
      </c>
      <c r="O80" s="80">
        <f>IF($B80="X",$E80,"")</f>
      </c>
      <c r="P80" s="80">
        <f>IF($B80="X",$E82,"")</f>
      </c>
      <c r="Q80" s="80">
        <f>IF($C80="X",ROUND($G80+($H80-$G80)*(($J$12-$I$6)/($J$6-$I$6)),0),"")</f>
      </c>
      <c r="R80" s="80">
        <f>IF($C80="X",ROUND($G80+($H80-$G80)*(($J$12-$I$6)/($J$6-$I$6)),0),"")</f>
      </c>
      <c r="S80" s="80">
        <f>IF($C80="X",$E80,"")</f>
      </c>
      <c r="T80" s="80">
        <f>IF($C80="X",$E82,"")</f>
      </c>
      <c r="U80" s="80">
        <f>IF($D80="X",ROUND($G80+($H80-$G80)*(($J$12-$I$6)/($J$6-$I$6)),0),"")</f>
      </c>
      <c r="V80" s="80">
        <f>IF($D80="X",ROUND($G80+($H80-$G80)*(($J$12-$I$6)/($J$6-$I$6)),0),"")</f>
      </c>
      <c r="W80" s="80">
        <f>IF($D80="X",$E80,"")</f>
      </c>
      <c r="X80" s="80">
        <f>IF($D80="X",$E82,"")</f>
      </c>
    </row>
    <row r="81" spans="1:24" ht="10.5" customHeight="1">
      <c r="A81" s="73">
        <f>IF($G$4=$E80,"",IF($G$4=$E82,"",IF($G$4&gt;=$E80,IF($G$4&lt;=$E82,"X",""),"")))</f>
      </c>
      <c r="B81" s="73">
        <f>IF($G$7=$E80,"",IF($G$7=$E82,"",IF($G$7&gt;=$E80,IF($G$7&lt;=$E82,"X",""),"")))</f>
      </c>
      <c r="C81" s="73">
        <f>IF($G$10=$E80,"",IF($G$10=$E82,"",IF($G$10&gt;=$E80,IF($G$10&lt;=$E82,"X",""),"")))</f>
      </c>
      <c r="D81" s="73">
        <f>IF($G$13=$E80,"",IF($G$13=$E82,"",IF($G$13&gt;=$E80,IF($G$13&lt;=$E82,"X",""),"")))</f>
      </c>
      <c r="I81" s="94">
        <f>IF($A81="X",ROUND($G80+($H80-$G80)*(($J$12-$I$6)/($J$6-$I$6)),0),"")</f>
      </c>
      <c r="J81" s="94">
        <f>IF($A81="X",ROUND($G82+($H82-$G82)*(($J$12-$I$6)/($J$6-$I$6)),0),"")</f>
      </c>
      <c r="K81" s="94">
        <f>IF($A81="X",$E80,"")</f>
      </c>
      <c r="L81" s="94">
        <f>IF($A81="X",$E82,"")</f>
      </c>
      <c r="M81" s="94">
        <f>IF($B81="X",ROUND($G80+($H80-$G80)*(($J$12-$I$6)/($J$6-$I$6)),0),"")</f>
      </c>
      <c r="N81" s="94">
        <f>IF($B81="X",ROUND($G82+($H82-$G82)*(($J$12-$I$6)/($J$6-$I$6)),0),"")</f>
      </c>
      <c r="O81" s="94">
        <f>IF($B81="X",$E80,"")</f>
      </c>
      <c r="P81" s="94">
        <f>IF($B81="X",$E82,"")</f>
      </c>
      <c r="Q81" s="94">
        <f>IF($C81="X",ROUND($G80+($H80-$G80)*(($J$12-$I$6)/($J$6-$I$6)),0),"")</f>
      </c>
      <c r="R81" s="94">
        <f>IF($C81="X",ROUND($G82+($H82-$G82)*(($J$12-$I$6)/($J$6-$I$6)),0),"")</f>
      </c>
      <c r="S81" s="94">
        <f>IF($C81="X",$E80,"")</f>
      </c>
      <c r="T81" s="94">
        <f>IF($C81="X",$E82,"")</f>
      </c>
      <c r="U81" s="94">
        <f>IF($D81="X",ROUND($G80+($H80-$G80)*(($J$12-$I$6)/($J$6-$I$6)),0),"")</f>
      </c>
      <c r="V81" s="94">
        <f>IF($D81="X",ROUND($G82+($H82-$G82)*(($J$12-$I$6)/($J$6-$I$6)),0),"")</f>
      </c>
      <c r="W81" s="94">
        <f>IF($D81="X",$E80,"")</f>
      </c>
      <c r="X81" s="94">
        <f>IF($D81="X",$E82,"")</f>
      </c>
    </row>
    <row r="82" spans="1:24" ht="10.5" customHeight="1">
      <c r="A82" s="80">
        <f>IF($G$4="","",IF($G$4=E82,"X",""))</f>
      </c>
      <c r="B82" s="80">
        <f>IF($G$7="","",IF($G$7=E82,"X",""))</f>
      </c>
      <c r="C82" s="80">
        <f>IF($G$10="","",IF($G$10=E82,"X",""))</f>
      </c>
      <c r="D82" s="80">
        <f>IF($G$13="","",IF($G$13=E82,"X",""))</f>
      </c>
      <c r="E82" s="80">
        <f>IF($F$15="X",'Tafel § 38'!B69,IF($F$16="X",'Tafel § 41'!B69,""))</f>
        <v>60</v>
      </c>
      <c r="F82" s="80"/>
      <c r="G82" s="80">
        <f>IF($F$15="X",'Tafel § 38'!C69,IF($F$16="X",'Tafel § 41'!C69,""))</f>
        <v>111221</v>
      </c>
      <c r="H82" s="80">
        <f>IF($F$15="X",'Tafel § 38'!D69,IF($F$16="X",'Tafel § 41'!D69,""))</f>
        <v>164166</v>
      </c>
      <c r="I82" s="80">
        <f>IF($A82="X",ROUND($G82+($H82-$G82)*(($J$12-$I$6)/($J$6-$I$6)),0),"")</f>
      </c>
      <c r="J82" s="80">
        <f>IF($A82="X",ROUND($G82+($H82-$G82)*(($J$12-$I$6)/($J$6-$I$6)),0),"")</f>
      </c>
      <c r="K82" s="80">
        <f>IF($A82="X",$E82,"")</f>
      </c>
      <c r="L82" s="80">
        <f>IF($A82="X",$E84,"")</f>
      </c>
      <c r="M82" s="80">
        <f>IF($B82="X",ROUND($G82+($H82-$G82)*(($J$12-$I$6)/($J$6-$I$6)),0),"")</f>
      </c>
      <c r="N82" s="80">
        <f>IF($B82="X",ROUND($G82+($H82-$G82)*(($J$12-$I$6)/($J$6-$I$6)),0),"")</f>
      </c>
      <c r="O82" s="80">
        <f>IF($B82="X",$E82,"")</f>
      </c>
      <c r="P82" s="80">
        <f>IF($B82="X",$E84,"")</f>
      </c>
      <c r="Q82" s="80">
        <f>IF($C82="X",ROUND($G82+($H82-$G82)*(($J$12-$I$6)/($J$6-$I$6)),0),"")</f>
      </c>
      <c r="R82" s="80">
        <f>IF($C82="X",ROUND($G82+($H82-$G82)*(($J$12-$I$6)/($J$6-$I$6)),0),"")</f>
      </c>
      <c r="S82" s="80">
        <f>IF($C82="X",$E82,"")</f>
      </c>
      <c r="T82" s="80">
        <f>IF($C82="X",$E84,"")</f>
      </c>
      <c r="U82" s="80">
        <f>IF($D82="X",ROUND($G82+($H82-$G82)*(($J$12-$I$6)/($J$6-$I$6)),0),"")</f>
      </c>
      <c r="V82" s="80">
        <f>IF($D82="X",ROUND($G82+($H82-$G82)*(($J$12-$I$6)/($J$6-$I$6)),0),"")</f>
      </c>
      <c r="W82" s="80">
        <f>IF($D82="X",$E82,"")</f>
      </c>
      <c r="X82" s="80">
        <f>IF($D82="X",$E84,"")</f>
      </c>
    </row>
    <row r="83" spans="1:24" ht="10.5" customHeight="1">
      <c r="A83" s="73">
        <f>IF($G$4=$E82,"",IF($G$4=$E84,"",IF($G$4&gt;=$E82,IF($G$4&lt;=$E84,"X",""),"")))</f>
      </c>
      <c r="B83" s="73">
        <f>IF($G$7=$E82,"",IF($G$7=$E84,"",IF($G$7&gt;=$E82,IF($G$7&lt;=$E84,"X",""),"")))</f>
      </c>
      <c r="C83" s="73">
        <f>IF($G$10=$E82,"",IF($G$10=$E84,"",IF($G$10&gt;=$E82,IF($G$10&lt;=$E84,"X",""),"")))</f>
      </c>
      <c r="D83" s="73">
        <f>IF($G$13=$E82,"",IF($G$13=$E84,"",IF($G$13&gt;=$E82,IF($G$13&lt;=$E84,"X",""),"")))</f>
      </c>
      <c r="I83" s="94">
        <f>IF($A83="X",ROUND($G82+($H82-$G82)*(($J$12-$I$6)/($J$6-$I$6)),0),"")</f>
      </c>
      <c r="J83" s="94">
        <f>IF($A83="X",ROUND($G84+($H84-$G84)*(($J$12-$I$6)/($J$6-$I$6)),0),"")</f>
      </c>
      <c r="K83" s="94">
        <f>IF($A83="X",$E82,"")</f>
      </c>
      <c r="L83" s="94">
        <f>IF($A83="X",$E84,"")</f>
      </c>
      <c r="M83" s="94">
        <f>IF($B83="X",ROUND($G82+($H82-$G82)*(($J$12-$I$6)/($J$6-$I$6)),0),"")</f>
      </c>
      <c r="N83" s="94">
        <f>IF($B83="X",ROUND($G84+($H84-$G84)*(($J$12-$I$6)/($J$6-$I$6)),0),"")</f>
      </c>
      <c r="O83" s="94">
        <f>IF($B83="X",$E82,"")</f>
      </c>
      <c r="P83" s="94">
        <f>IF($B83="X",$E84,"")</f>
      </c>
      <c r="Q83" s="94">
        <f>IF($C83="X",ROUND($G82+($H82-$G82)*(($J$12-$I$6)/($J$6-$I$6)),0),"")</f>
      </c>
      <c r="R83" s="94">
        <f>IF($C83="X",ROUND($G84+($H84-$G84)*(($J$12-$I$6)/($J$6-$I$6)),0),"")</f>
      </c>
      <c r="S83" s="94">
        <f>IF($C83="X",$E82,"")</f>
      </c>
      <c r="T83" s="94">
        <f>IF($C83="X",$E84,"")</f>
      </c>
      <c r="U83" s="94">
        <f>IF($D83="X",ROUND($G82+($H82-$G82)*(($J$12-$I$6)/($J$6-$I$6)),0),"")</f>
      </c>
      <c r="V83" s="94">
        <f>IF($D83="X",ROUND($G84+($H84-$G84)*(($J$12-$I$6)/($J$6-$I$6)),0),"")</f>
      </c>
      <c r="W83" s="94">
        <f>IF($D83="X",$E82,"")</f>
      </c>
      <c r="X83" s="94">
        <f>IF($D83="X",$E84,"")</f>
      </c>
    </row>
    <row r="84" spans="1:24" ht="10.5" customHeight="1">
      <c r="A84" s="80">
        <f>IF($G$4="","",IF($G$4=E84,"X",""))</f>
      </c>
      <c r="B84" s="80">
        <f>IF($G$7="","",IF($G$7=E84,"X",""))</f>
      </c>
      <c r="C84" s="80">
        <f>IF($G$10="","",IF($G$10=E84,"X",""))</f>
      </c>
      <c r="D84" s="80">
        <f>IF($G$13="","",IF($G$13=E84,"X",""))</f>
      </c>
      <c r="E84" s="80">
        <f>IF($F$15="X",'Tafel § 38'!B71,IF($F$16="X",'Tafel § 41'!B71,""))</f>
        <v>70</v>
      </c>
      <c r="F84" s="80"/>
      <c r="G84" s="80">
        <f>IF($F$15="X",'Tafel § 38'!C71,IF($F$16="X",'Tafel § 41'!C71,""))</f>
        <v>123022</v>
      </c>
      <c r="H84" s="80">
        <f>IF($F$15="X",'Tafel § 38'!D71,IF($F$16="X",'Tafel § 41'!D71,""))</f>
        <v>181831</v>
      </c>
      <c r="I84" s="80">
        <f>IF($A84="X",ROUND($G84+($H84-$G84)*(($J$12-$I$6)/($J$6-$I$6)),0),"")</f>
      </c>
      <c r="J84" s="80">
        <f>IF($A84="X",ROUND($G84+($H84-$G84)*(($J$12-$I$6)/($J$6-$I$6)),0),"")</f>
      </c>
      <c r="K84" s="80">
        <f>IF($A84="X",$E84,"")</f>
      </c>
      <c r="L84" s="80">
        <f>IF($A84="X",$E86,"")</f>
      </c>
      <c r="M84" s="80">
        <f>IF($B84="X",ROUND($G84+($H84-$G84)*(($J$12-$I$6)/($J$6-$I$6)),0),"")</f>
      </c>
      <c r="N84" s="80">
        <f>IF($B84="X",ROUND($G84+($H84-$G84)*(($J$12-$I$6)/($J$6-$I$6)),0),"")</f>
      </c>
      <c r="O84" s="80">
        <f>IF($B84="X",$E84,"")</f>
      </c>
      <c r="P84" s="80">
        <f>IF($B84="X",$E86,"")</f>
      </c>
      <c r="Q84" s="80">
        <f>IF($C84="X",ROUND($G84+($H84-$G84)*(($J$12-$I$6)/($J$6-$I$6)),0),"")</f>
      </c>
      <c r="R84" s="80">
        <f>IF($C84="X",ROUND($G84+($H84-$G84)*(($J$12-$I$6)/($J$6-$I$6)),0),"")</f>
      </c>
      <c r="S84" s="80">
        <f>IF($C84="X",$E84,"")</f>
      </c>
      <c r="T84" s="80">
        <f>IF($C84="X",$E86,"")</f>
      </c>
      <c r="U84" s="80">
        <f>IF($D84="X",ROUND($G84+($H84-$G84)*(($J$12-$I$6)/($J$6-$I$6)),0),"")</f>
      </c>
      <c r="V84" s="80">
        <f>IF($D84="X",ROUND($G84+($H84-$G84)*(($J$12-$I$6)/($J$6-$I$6)),0),"")</f>
      </c>
      <c r="W84" s="80">
        <f>IF($D84="X",$E84,"")</f>
      </c>
      <c r="X84" s="80">
        <f>IF($D84="X",$E86,"")</f>
      </c>
    </row>
    <row r="85" spans="1:24" ht="10.5" customHeight="1">
      <c r="A85" s="73">
        <f>IF($G$4=$E84,"",IF($G$4=$E86,"",IF($G$4&gt;=$E84,IF($G$4&lt;=$E86,"X",""),"")))</f>
      </c>
      <c r="B85" s="73">
        <f>IF($G$7=$E84,"",IF($G$7=$E86,"",IF($G$7&gt;=$E84,IF($G$7&lt;=$E86,"X",""),"")))</f>
      </c>
      <c r="C85" s="73">
        <f>IF($G$10=$E84,"",IF($G$10=$E86,"",IF($G$10&gt;=$E84,IF($G$10&lt;=$E86,"X",""),"")))</f>
      </c>
      <c r="D85" s="73">
        <f>IF($G$13=$E84,"",IF($G$13=$E86,"",IF($G$13&gt;=$E84,IF($G$13&lt;=$E86,"X",""),"")))</f>
      </c>
      <c r="I85" s="94">
        <f>IF($A85="X",ROUND($G84+($H84-$G84)*(($J$12-$I$6)/($J$6-$I$6)),0),"")</f>
      </c>
      <c r="J85" s="94">
        <f>IF($A85="X",ROUND($G86+($H86-$G86)*(($J$12-$I$6)/($J$6-$I$6)),0),"")</f>
      </c>
      <c r="K85" s="94">
        <f>IF($A85="X",$E84,"")</f>
      </c>
      <c r="L85" s="94">
        <f>IF($A85="X",$E86,"")</f>
      </c>
      <c r="M85" s="94">
        <f>IF($B85="X",ROUND($G84+($H84-$G84)*(($J$12-$I$6)/($J$6-$I$6)),0),"")</f>
      </c>
      <c r="N85" s="94">
        <f>IF($B85="X",ROUND($G86+($H86-$G86)*(($J$12-$I$6)/($J$6-$I$6)),0),"")</f>
      </c>
      <c r="O85" s="94">
        <f>IF($B85="X",$E84,"")</f>
      </c>
      <c r="P85" s="94">
        <f>IF($B85="X",$E86,"")</f>
      </c>
      <c r="Q85" s="94">
        <f>IF($C85="X",ROUND($G84+($H84-$G84)*(($J$12-$I$6)/($J$6-$I$6)),0),"")</f>
      </c>
      <c r="R85" s="94">
        <f>IF($C85="X",ROUND($G86+($H86-$G86)*(($J$12-$I$6)/($J$6-$I$6)),0),"")</f>
      </c>
      <c r="S85" s="94">
        <f>IF($C85="X",$E84,"")</f>
      </c>
      <c r="T85" s="94">
        <f>IF($C85="X",$E86,"")</f>
      </c>
      <c r="U85" s="94">
        <f>IF($D85="X",ROUND($G84+($H84-$G84)*(($J$12-$I$6)/($J$6-$I$6)),0),"")</f>
      </c>
      <c r="V85" s="94">
        <f>IF($D85="X",ROUND($G86+($H86-$G86)*(($J$12-$I$6)/($J$6-$I$6)),0),"")</f>
      </c>
      <c r="W85" s="94">
        <f>IF($D85="X",$E84,"")</f>
      </c>
      <c r="X85" s="94">
        <f>IF($D85="X",$E86,"")</f>
      </c>
    </row>
    <row r="86" spans="1:24" ht="10.5" customHeight="1">
      <c r="A86" s="80">
        <f>IF($G$4="","",IF($G$4=E86,"X",""))</f>
      </c>
      <c r="B86" s="80">
        <f>IF($G$7="","",IF($G$7=E86,"X",""))</f>
      </c>
      <c r="C86" s="80">
        <f>IF($G$10="","",IF($G$10=E86,"X",""))</f>
      </c>
      <c r="D86" s="80">
        <f>IF($G$13="","",IF($G$13=E86,"X",""))</f>
      </c>
      <c r="E86" s="80">
        <f>IF($F$15="X",'Tafel § 38'!B73,IF($F$16="X",'Tafel § 41'!B73,""))</f>
        <v>80</v>
      </c>
      <c r="F86" s="80"/>
      <c r="G86" s="80">
        <f>IF($F$15="X",'Tafel § 38'!C73,IF($F$16="X",'Tafel § 41'!C73,""))</f>
        <v>134807</v>
      </c>
      <c r="H86" s="80">
        <f>IF($F$15="X",'Tafel § 38'!D73,IF($F$16="X",'Tafel § 41'!D73,""))</f>
        <v>199496</v>
      </c>
      <c r="I86" s="80">
        <f>IF($A86="X",ROUND($G86+($H86-$G86)*(($J$12-$I$6)/($J$6-$I$6)),0),"")</f>
      </c>
      <c r="J86" s="80">
        <f>IF($A86="X",ROUND($G86+($H86-$G86)*(($J$12-$I$6)/($J$6-$I$6)),0),"")</f>
      </c>
      <c r="K86" s="80">
        <f>IF($A86="X",$E86,"")</f>
      </c>
      <c r="L86" s="80">
        <f>IF($A86="X",$E88,"")</f>
      </c>
      <c r="M86" s="80">
        <f>IF($B86="X",ROUND($G86+($H86-$G86)*(($J$12-$I$6)/($J$6-$I$6)),0),"")</f>
      </c>
      <c r="N86" s="80">
        <f>IF($B86="X",ROUND($G86+($H86-$G86)*(($J$12-$I$6)/($J$6-$I$6)),0),"")</f>
      </c>
      <c r="O86" s="80">
        <f>IF($B86="X",$E86,"")</f>
      </c>
      <c r="P86" s="80">
        <f>IF($B86="X",$E88,"")</f>
      </c>
      <c r="Q86" s="80">
        <f>IF($C86="X",ROUND($G86+($H86-$G86)*(($J$12-$I$6)/($J$6-$I$6)),0),"")</f>
      </c>
      <c r="R86" s="80">
        <f>IF($C86="X",ROUND($G86+($H86-$G86)*(($J$12-$I$6)/($J$6-$I$6)),0),"")</f>
      </c>
      <c r="S86" s="80">
        <f>IF($C86="X",$E86,"")</f>
      </c>
      <c r="T86" s="80">
        <f>IF($C86="X",$E88,"")</f>
      </c>
      <c r="U86" s="80">
        <f>IF($D86="X",ROUND($G86+($H86-$G86)*(($J$12-$I$6)/($J$6-$I$6)),0),"")</f>
      </c>
      <c r="V86" s="80">
        <f>IF($D86="X",ROUND($G86+($H86-$G86)*(($J$12-$I$6)/($J$6-$I$6)),0),"")</f>
      </c>
      <c r="W86" s="80">
        <f>IF($D86="X",$E86,"")</f>
      </c>
      <c r="X86" s="80">
        <f>IF($D86="X",$E88,"")</f>
      </c>
    </row>
    <row r="87" spans="1:24" ht="10.5" customHeight="1">
      <c r="A87" s="73">
        <f>IF($G$4=$E86,"",IF($G$4=$E88,"",IF($G$4&gt;=$E86,IF($G$4&lt;=$E88,"X",""),"")))</f>
      </c>
      <c r="B87" s="73">
        <f>IF($G$7=$E86,"",IF($G$7=$E88,"",IF($G$7&gt;=$E86,IF($G$7&lt;=$E88,"X",""),"")))</f>
      </c>
      <c r="C87" s="73">
        <f>IF($G$10=$E86,"",IF($G$10=$E88,"",IF($G$10&gt;=$E86,IF($G$10&lt;=$E88,"X",""),"")))</f>
      </c>
      <c r="D87" s="73">
        <f>IF($G$13=$E86,"",IF($G$13=$E88,"",IF($G$13&gt;=$E86,IF($G$13&lt;=$E88,"X",""),"")))</f>
      </c>
      <c r="I87" s="94">
        <f>IF($A87="X",ROUND($G86+($H86-$G86)*(($J$12-$I$6)/($J$6-$I$6)),0),"")</f>
      </c>
      <c r="J87" s="94">
        <f>IF($A87="X",ROUND($G88+($H88-$G88)*(($J$12-$I$6)/($J$6-$I$6)),0),"")</f>
      </c>
      <c r="K87" s="94">
        <f>IF($A87="X",$E86,"")</f>
      </c>
      <c r="L87" s="94">
        <f>IF($A87="X",$E88,"")</f>
      </c>
      <c r="M87" s="94">
        <f>IF($B87="X",ROUND($G86+($H86-$G86)*(($J$12-$I$6)/($J$6-$I$6)),0),"")</f>
      </c>
      <c r="N87" s="94">
        <f>IF($B87="X",ROUND($G88+($H88-$G88)*(($J$12-$I$6)/($J$6-$I$6)),0),"")</f>
      </c>
      <c r="O87" s="94">
        <f>IF($B87="X",$E86,"")</f>
      </c>
      <c r="P87" s="94">
        <f>IF($B87="X",$E88,"")</f>
      </c>
      <c r="Q87" s="94">
        <f>IF($C87="X",ROUND($G86+($H86-$G86)*(($J$12-$I$6)/($J$6-$I$6)),0),"")</f>
      </c>
      <c r="R87" s="94">
        <f>IF($C87="X",ROUND($G88+($H88-$G88)*(($J$12-$I$6)/($J$6-$I$6)),0),"")</f>
      </c>
      <c r="S87" s="94">
        <f>IF($C87="X",$E86,"")</f>
      </c>
      <c r="T87" s="94">
        <f>IF($C87="X",$E88,"")</f>
      </c>
      <c r="U87" s="94">
        <f>IF($D87="X",ROUND($G86+($H86-$G86)*(($J$12-$I$6)/($J$6-$I$6)),0),"")</f>
      </c>
      <c r="V87" s="94">
        <f>IF($D87="X",ROUND($G88+($H88-$G88)*(($J$12-$I$6)/($J$6-$I$6)),0),"")</f>
      </c>
      <c r="W87" s="94">
        <f>IF($D87="X",$E86,"")</f>
      </c>
      <c r="X87" s="94">
        <f>IF($D87="X",$E88,"")</f>
      </c>
    </row>
    <row r="88" spans="1:24" ht="10.5" customHeight="1">
      <c r="A88" s="80">
        <f>IF($G$4="","",IF($G$4=E88,"X",""))</f>
      </c>
      <c r="B88" s="80">
        <f>IF($G$7="","",IF($G$7=E88,"X",""))</f>
      </c>
      <c r="C88" s="80">
        <f>IF($G$10="","",IF($G$10=E88,"X",""))</f>
      </c>
      <c r="D88" s="80">
        <f>IF($G$13="","",IF($G$13=E88,"X",""))</f>
      </c>
      <c r="E88" s="80">
        <f>IF($F$15="X",'Tafel § 38'!B75,IF($F$16="X",'Tafel § 41'!B75,""))</f>
        <v>90</v>
      </c>
      <c r="F88" s="80"/>
      <c r="G88" s="80">
        <f>IF($F$15="X",'Tafel § 38'!C75,IF($F$16="X",'Tafel § 41'!C75,""))</f>
        <v>146874</v>
      </c>
      <c r="H88" s="80">
        <f>IF($F$15="X",'Tafel § 38'!D75,IF($F$16="X",'Tafel § 41'!D75,""))</f>
        <v>217698</v>
      </c>
      <c r="I88" s="80">
        <f>IF($A88="X",ROUND($G88+($H88-$G88)*(($J$12-$I$6)/($J$6-$I$6)),0),"")</f>
      </c>
      <c r="J88" s="80">
        <f>IF($A88="X",ROUND($G88+($H88-$G88)*(($J$12-$I$6)/($J$6-$I$6)),0),"")</f>
      </c>
      <c r="K88" s="80">
        <f>IF($A88="X",$E88,"")</f>
      </c>
      <c r="L88" s="80">
        <f>IF($A88="X",$E90,"")</f>
      </c>
      <c r="M88" s="80">
        <f>IF($B88="X",ROUND($G88+($H88-$G88)*(($J$12-$I$6)/($J$6-$I$6)),0),"")</f>
      </c>
      <c r="N88" s="80">
        <f>IF($B88="X",ROUND($G88+($H88-$G88)*(($J$12-$I$6)/($J$6-$I$6)),0),"")</f>
      </c>
      <c r="O88" s="80">
        <f>IF($B88="X",$E88,"")</f>
      </c>
      <c r="P88" s="80">
        <f>IF($B88="X",$E90,"")</f>
      </c>
      <c r="Q88" s="80">
        <f>IF($C88="X",ROUND($G88+($H88-$G88)*(($J$12-$I$6)/($J$6-$I$6)),0),"")</f>
      </c>
      <c r="R88" s="80">
        <f>IF($C88="X",ROUND($G88+($H88-$G88)*(($J$12-$I$6)/($J$6-$I$6)),0),"")</f>
      </c>
      <c r="S88" s="80">
        <f>IF($C88="X",$E88,"")</f>
      </c>
      <c r="T88" s="80">
        <f>IF($C88="X",$E90,"")</f>
      </c>
      <c r="U88" s="80">
        <f>IF($D88="X",ROUND($G88+($H88-$G88)*(($J$12-$I$6)/($J$6-$I$6)),0),"")</f>
      </c>
      <c r="V88" s="80">
        <f>IF($D88="X",ROUND($G88+($H88-$G88)*(($J$12-$I$6)/($J$6-$I$6)),0),"")</f>
      </c>
      <c r="W88" s="80">
        <f>IF($D88="X",$E88,"")</f>
      </c>
      <c r="X88" s="80">
        <f>IF($D88="X",$E90,"")</f>
      </c>
    </row>
    <row r="89" spans="1:24" ht="10.5" customHeight="1">
      <c r="A89" s="73">
        <f>IF($G$4=$E88,"",IF($G$4=$E90,"",IF($G$4&gt;=$E88,IF($G$4&lt;=$E90,"X",""),"")))</f>
      </c>
      <c r="B89" s="73">
        <f>IF($G$7=$E88,"",IF($G$7=$E90,"",IF($G$7&gt;=$E88,IF($G$7&lt;=$E90,"X",""),"")))</f>
      </c>
      <c r="C89" s="73">
        <f>IF($G$10=$E88,"",IF($G$10=$E90,"",IF($G$10&gt;=$E88,IF($G$10&lt;=$E90,"X",""),"")))</f>
      </c>
      <c r="D89" s="73">
        <f>IF($G$13=$E88,"",IF($G$13=$E90,"",IF($G$13&gt;=$E88,IF($G$13&lt;=$E90,"X",""),"")))</f>
      </c>
      <c r="I89" s="94">
        <f>IF($A89="X",ROUND($G88+($H88-$G88)*(($J$12-$I$6)/($J$6-$I$6)),0),"")</f>
      </c>
      <c r="J89" s="94">
        <f>IF($A89="X",ROUND($G90+($H90-$G90)*(($J$12-$I$6)/($J$6-$I$6)),0),"")</f>
      </c>
      <c r="K89" s="94">
        <f>IF($A89="X",$E88,"")</f>
      </c>
      <c r="L89" s="94">
        <f>IF($A89="X",$E90,"")</f>
      </c>
      <c r="M89" s="94">
        <f>IF($B89="X",ROUND($G88+($H88-$G88)*(($J$12-$I$6)/($J$6-$I$6)),0),"")</f>
      </c>
      <c r="N89" s="94">
        <f>IF($B89="X",ROUND($G90+($H90-$G90)*(($J$12-$I$6)/($J$6-$I$6)),0),"")</f>
      </c>
      <c r="O89" s="94">
        <f>IF($B89="X",$E88,"")</f>
      </c>
      <c r="P89" s="94">
        <f>IF($B89="X",$E90,"")</f>
      </c>
      <c r="Q89" s="94">
        <f>IF($C89="X",ROUND($G88+($H88-$G88)*(($J$12-$I$6)/($J$6-$I$6)),0),"")</f>
      </c>
      <c r="R89" s="94">
        <f>IF($C89="X",ROUND($G90+($H90-$G90)*(($J$12-$I$6)/($J$6-$I$6)),0),"")</f>
      </c>
      <c r="S89" s="94">
        <f>IF($C89="X",$E88,"")</f>
      </c>
      <c r="T89" s="94">
        <f>IF($C89="X",$E90,"")</f>
      </c>
      <c r="U89" s="94">
        <f>IF($D89="X",ROUND($G88+($H88-$G88)*(($J$12-$I$6)/($J$6-$I$6)),0),"")</f>
      </c>
      <c r="V89" s="94">
        <f>IF($D89="X",ROUND($G90+($H90-$G90)*(($J$12-$I$6)/($J$6-$I$6)),0),"")</f>
      </c>
      <c r="W89" s="94">
        <f>IF($D89="X",$E88,"")</f>
      </c>
      <c r="X89" s="94">
        <f>IF($D89="X",$E90,"")</f>
      </c>
    </row>
    <row r="90" spans="1:24" ht="10.5" customHeight="1">
      <c r="A90" s="80">
        <f>IF($G$4="","",IF($G$4=E90,"X",""))</f>
      </c>
      <c r="B90" s="80">
        <f>IF($G$7="","",IF($G$7=E90,"X",""))</f>
      </c>
      <c r="C90" s="80">
        <f>IF($G$10="","",IF($G$10=E90,"X",""))</f>
      </c>
      <c r="D90" s="80">
        <f>IF($G$13="","",IF($G$13=E90,"X",""))</f>
      </c>
      <c r="E90" s="80">
        <f>IF($F$15="X",'Tafel § 38'!B77,IF($F$16="X",'Tafel § 41'!B77,""))</f>
        <v>100</v>
      </c>
      <c r="F90" s="80"/>
      <c r="G90" s="80">
        <f>IF($F$15="X",'Tafel § 38'!C77,IF($F$16="X",'Tafel § 41'!C77,""))</f>
        <v>159717</v>
      </c>
      <c r="H90" s="80">
        <f>IF($F$15="X",'Tafel § 38'!D77,IF($F$16="X",'Tafel § 41'!D77,""))</f>
        <v>237204</v>
      </c>
      <c r="I90" s="80">
        <f>IF($A90="X",ROUND($G90+($H90-$G90)*(($J$12-$I$6)/($J$6-$I$6)),0),"")</f>
      </c>
      <c r="J90" s="80">
        <f>IF($A90="X",ROUND($G90+($H90-$G90)*(($J$12-$I$6)/($J$6-$I$6)),0),"")</f>
      </c>
      <c r="K90" s="80">
        <f>IF($A90="X",$E90,"")</f>
      </c>
      <c r="L90" s="80">
        <f>IF($A90="X",$E92,"")</f>
      </c>
      <c r="M90" s="80">
        <f>IF($B90="X",ROUND($G90+($H90-$G90)*(($J$12-$I$6)/($J$6-$I$6)),0),"")</f>
      </c>
      <c r="N90" s="80">
        <f>IF($B90="X",ROUND($G90+($H90-$G90)*(($J$12-$I$6)/($J$6-$I$6)),0),"")</f>
      </c>
      <c r="O90" s="80">
        <f>IF($B90="X",$E90,"")</f>
      </c>
      <c r="P90" s="80">
        <f>IF($B90="X",$E92,"")</f>
      </c>
      <c r="Q90" s="80">
        <f>IF($C90="X",ROUND($G90+($H90-$G90)*(($J$12-$I$6)/($J$6-$I$6)),0),"")</f>
      </c>
      <c r="R90" s="80">
        <f>IF($C90="X",ROUND($G90+($H90-$G90)*(($J$12-$I$6)/($J$6-$I$6)),0),"")</f>
      </c>
      <c r="S90" s="80">
        <f>IF($C90="X",$E90,"")</f>
      </c>
      <c r="T90" s="80">
        <f>IF($C90="X",$E92,"")</f>
      </c>
      <c r="U90" s="80">
        <f>IF($D90="X",ROUND($G90+($H90-$G90)*(($J$12-$I$6)/($J$6-$I$6)),0),"")</f>
      </c>
      <c r="V90" s="80">
        <f>IF($D90="X",ROUND($G90+($H90-$G90)*(($J$12-$I$6)/($J$6-$I$6)),0),"")</f>
      </c>
      <c r="W90" s="80">
        <f>IF($D90="X",$E90,"")</f>
      </c>
      <c r="X90" s="80">
        <f>IF($D90="X",$E92,"")</f>
      </c>
    </row>
    <row r="91" spans="1:24" ht="10.5" customHeight="1">
      <c r="A91" s="73">
        <f>IF($G$4=$E90,"",IF($G$4=$E92,"",IF($G$4&gt;=$E90,IF($G$4&lt;=$E92,"X",""),"")))</f>
      </c>
      <c r="B91" s="73">
        <f>IF($G$7=$E90,"",IF($G$7=$E92,"",IF($G$7&gt;=$E90,IF($G$7&lt;=$E92,"X",""),"")))</f>
      </c>
      <c r="C91" s="73">
        <f>IF($G$10=$E90,"",IF($G$10=$E92,"",IF($G$10&gt;=$E90,IF($G$10&lt;=$E92,"X",""),"")))</f>
      </c>
      <c r="D91" s="73">
        <f>IF($G$13=$E90,"",IF($G$13=$E92,"",IF($G$13&gt;=$E90,IF($G$13&lt;=$E92,"X",""),"")))</f>
      </c>
      <c r="I91" s="94">
        <f>IF($A91="X",ROUND($G90+($H90-$G90)*(($J$12-$I$6)/($J$6-$I$6)),0),"")</f>
      </c>
      <c r="J91" s="94">
        <f>IF($A91="X",ROUND($G92+($H92-$G92)*(($J$12-$I$6)/($J$6-$I$6)),0),"")</f>
      </c>
      <c r="K91" s="94">
        <f>IF($A91="X",$E90,"")</f>
      </c>
      <c r="L91" s="94">
        <f>IF($A91="X",$E92,"")</f>
      </c>
      <c r="M91" s="94">
        <f>IF($B91="X",ROUND($G90+($H90-$G90)*(($J$12-$I$6)/($J$6-$I$6)),0),"")</f>
      </c>
      <c r="N91" s="94">
        <f>IF($B91="X",ROUND($G92+($H92-$G92)*(($J$12-$I$6)/($J$6-$I$6)),0),"")</f>
      </c>
      <c r="O91" s="94">
        <f>IF($B91="X",$E90,"")</f>
      </c>
      <c r="P91" s="94">
        <f>IF($B91="X",$E92,"")</f>
      </c>
      <c r="Q91" s="94">
        <f>IF($C91="X",ROUND($G90+($H90-$G90)*(($J$12-$I$6)/($J$6-$I$6)),0),"")</f>
      </c>
      <c r="R91" s="94">
        <f>IF($C91="X",ROUND($G92+($H92-$G92)*(($J$12-$I$6)/($J$6-$I$6)),0),"")</f>
      </c>
      <c r="S91" s="94">
        <f>IF($C91="X",$E90,"")</f>
      </c>
      <c r="T91" s="94">
        <f>IF($C91="X",$E92,"")</f>
      </c>
      <c r="U91" s="94">
        <f>IF($D91="X",ROUND($G90+($H90-$G90)*(($J$12-$I$6)/($J$6-$I$6)),0),"")</f>
      </c>
      <c r="V91" s="94">
        <f>IF($D91="X",ROUND($G92+($H92-$G92)*(($J$12-$I$6)/($J$6-$I$6)),0),"")</f>
      </c>
      <c r="W91" s="94">
        <f>IF($D91="X",$E90,"")</f>
      </c>
      <c r="X91" s="94">
        <f>IF($D91="X",$E92,"")</f>
      </c>
    </row>
  </sheetData>
  <sheetProtection password="CBBE" sheet="1" objects="1" scenarios="1"/>
  <printOptions horizontalCentered="1" verticalCentered="1"/>
  <pageMargins left="0" right="0" top="0.5905511811023623" bottom="0.5905511811023623" header="0.31496062992125984" footer="0.31496062992125984"/>
  <pageSetup fitToHeight="1" fitToWidth="1" horizontalDpi="300" verticalDpi="3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workbookViewId="0" topLeftCell="A1">
      <selection activeCell="G20" sqref="G20"/>
    </sheetView>
  </sheetViews>
  <sheetFormatPr defaultColWidth="11.421875" defaultRowHeight="12.75"/>
  <cols>
    <col min="1" max="1" width="5.8515625" style="4" customWidth="1"/>
    <col min="2" max="2" width="4.7109375" style="4" customWidth="1"/>
    <col min="3" max="3" width="12.140625" style="4" customWidth="1"/>
    <col min="4" max="4" width="5.28125" style="4" customWidth="1"/>
    <col min="5" max="5" width="9.8515625" style="4" customWidth="1"/>
    <col min="6" max="6" width="5.28125" style="4" customWidth="1"/>
    <col min="7" max="7" width="9.8515625" style="4" customWidth="1"/>
    <col min="8" max="8" width="5.28125" style="4" customWidth="1"/>
    <col min="9" max="9" width="9.8515625" style="4" customWidth="1"/>
    <col min="10" max="10" width="5.28125" style="4" customWidth="1"/>
    <col min="11" max="11" width="9.8515625" style="4" customWidth="1"/>
    <col min="12" max="12" width="5.28125" style="4" customWidth="1"/>
    <col min="13" max="15" width="9.8515625" style="4" customWidth="1"/>
    <col min="16" max="16" width="10.421875" style="4" customWidth="1"/>
    <col min="17" max="17" width="9.8515625" style="4" customWidth="1"/>
    <col min="18" max="19" width="9.8515625" style="5" customWidth="1"/>
    <col min="20" max="20" width="3.140625" style="32" customWidth="1"/>
    <col min="21" max="21" width="9.28125" style="5" customWidth="1"/>
    <col min="22" max="22" width="9.28125" style="256" customWidth="1"/>
    <col min="23" max="23" width="3.140625" style="228" customWidth="1"/>
    <col min="24" max="24" width="12.00390625" style="247" bestFit="1" customWidth="1"/>
    <col min="25" max="25" width="10.00390625" style="5" customWidth="1"/>
    <col min="26" max="96" width="11.421875" style="5" customWidth="1"/>
    <col min="97" max="16384" width="11.421875" style="4" customWidth="1"/>
  </cols>
  <sheetData>
    <row r="1" spans="1:96" ht="12.75" customHeight="1">
      <c r="A1" s="377" t="s">
        <v>113</v>
      </c>
      <c r="B1" s="361"/>
      <c r="C1" s="128" t="s">
        <v>50</v>
      </c>
      <c r="D1" s="206"/>
      <c r="E1" s="237" t="s">
        <v>122</v>
      </c>
      <c r="F1" s="124" t="s">
        <v>121</v>
      </c>
      <c r="G1" s="206" t="str">
        <f>IF(STAMMDATEN!$A$26="X",STAMMDATEN!$B$26,IF(STAMMDATEN!$A$27="X",STAMMDATEN!$B$27,""))</f>
        <v>Bebauungsplan</v>
      </c>
      <c r="H1" s="97"/>
      <c r="I1" s="97"/>
      <c r="J1" s="206" t="str">
        <f>IF(STAMMDATEN!$A$26="X",STAMMDATEN!$D$26,IF(STAMMDATEN!A27="X",STAMMDATEN!D27,""))</f>
        <v>nach HOAI § 41</v>
      </c>
      <c r="K1" s="120"/>
      <c r="L1" s="120"/>
      <c r="M1" s="120"/>
      <c r="N1" s="120"/>
      <c r="O1" s="120"/>
      <c r="P1" s="120"/>
      <c r="Q1" s="128" t="s">
        <v>50</v>
      </c>
      <c r="R1" s="201"/>
      <c r="S1" s="201"/>
      <c r="T1" s="243"/>
      <c r="CR1" s="4"/>
    </row>
    <row r="2" spans="1:96" ht="12.75">
      <c r="A2" s="403" t="s">
        <v>221</v>
      </c>
      <c r="B2" s="16"/>
      <c r="C2" s="16"/>
      <c r="D2" s="102"/>
      <c r="E2" s="102"/>
      <c r="F2" s="95"/>
      <c r="G2" s="102"/>
      <c r="H2" s="102"/>
      <c r="I2" s="95"/>
      <c r="J2" s="95"/>
      <c r="K2" s="102"/>
      <c r="L2" s="95"/>
      <c r="M2" s="102"/>
      <c r="N2" s="102"/>
      <c r="O2" s="107" t="s">
        <v>37</v>
      </c>
      <c r="P2" s="102"/>
      <c r="Q2" s="220">
        <f>STAMMDATEN!$B$41</f>
        <v>35855</v>
      </c>
      <c r="R2" s="108"/>
      <c r="S2" s="108"/>
      <c r="T2" s="110"/>
      <c r="CR2" s="4"/>
    </row>
    <row r="3" spans="1:96" ht="12.75" customHeight="1">
      <c r="A3" s="26"/>
      <c r="B3" s="26"/>
      <c r="C3" s="238" t="s">
        <v>116</v>
      </c>
      <c r="D3" s="95"/>
      <c r="E3" s="251">
        <f>SUM(Q3)</f>
        <v>22931</v>
      </c>
      <c r="F3" s="95"/>
      <c r="G3" s="95"/>
      <c r="H3" s="95"/>
      <c r="I3" s="95"/>
      <c r="J3" s="95"/>
      <c r="K3" s="102"/>
      <c r="L3" s="95"/>
      <c r="M3" s="102"/>
      <c r="N3" s="102"/>
      <c r="O3" s="24" t="s">
        <v>123</v>
      </c>
      <c r="P3" s="102"/>
      <c r="Q3" s="96">
        <f>STAMMDATEN!G42</f>
        <v>22931</v>
      </c>
      <c r="R3" s="108"/>
      <c r="S3" s="108"/>
      <c r="W3" s="236"/>
      <c r="CR3" s="4"/>
    </row>
    <row r="4" spans="1:96" ht="13.5" thickBot="1">
      <c r="A4" s="240" t="s">
        <v>21</v>
      </c>
      <c r="B4" s="26"/>
      <c r="C4" s="239">
        <f>SUM(E4,G4,I4,K4,M4)</f>
        <v>22931</v>
      </c>
      <c r="D4" s="130"/>
      <c r="E4" s="121">
        <f>IF(D6="","",IF(D8="","",IF($Q$3="","",SUM(D$8*$Q$3*D6))))</f>
        <v>687.93</v>
      </c>
      <c r="F4" s="130"/>
      <c r="G4" s="121">
        <f>IF(F6="","",IF(F8="","",IF($Q3="","",SUM($F8*$Q$3*F6))))</f>
        <v>4586.2</v>
      </c>
      <c r="H4" s="130"/>
      <c r="I4" s="121">
        <f>IF(H6="","",IF(H8="","",IF($Q3="","",SUM($H8*$Q$3*H6))))</f>
        <v>9172.4</v>
      </c>
      <c r="J4" s="130"/>
      <c r="K4" s="121">
        <f>IF(J6="","",IF(J8="","",IF($Q3="","",SUM(J8*$Q$3*J6))))</f>
        <v>6879.3</v>
      </c>
      <c r="L4" s="130"/>
      <c r="M4" s="121">
        <f>IF(L6="","",IF(L8="","",IF($Q3="","",SUM(L8*$Q$3*L6))))</f>
        <v>1605.17</v>
      </c>
      <c r="N4" s="112"/>
      <c r="O4" s="111" t="s">
        <v>115</v>
      </c>
      <c r="P4" s="192">
        <f>SUM(D8,F8,H8,J8,L8)</f>
        <v>1</v>
      </c>
      <c r="Q4" s="96">
        <f>IF(Q3="","",SUM(Q3*$P$4))</f>
        <v>22931</v>
      </c>
      <c r="R4" s="108"/>
      <c r="S4" s="108"/>
      <c r="T4" s="236"/>
      <c r="W4" s="410" t="s">
        <v>142</v>
      </c>
      <c r="CR4" s="4"/>
    </row>
    <row r="5" spans="1:96" ht="13.5" customHeight="1" thickBot="1">
      <c r="A5" s="241">
        <f>STAMMDATEN!F19</f>
        <v>0.15</v>
      </c>
      <c r="B5" s="26"/>
      <c r="C5" s="239">
        <f>SUM(E5,G5,I5,K5)</f>
        <v>0</v>
      </c>
      <c r="D5" s="373"/>
      <c r="E5" s="102"/>
      <c r="F5" s="373"/>
      <c r="G5" s="102"/>
      <c r="H5" s="373"/>
      <c r="I5" s="102"/>
      <c r="J5" s="373"/>
      <c r="K5" s="102"/>
      <c r="L5" s="373"/>
      <c r="M5" s="102"/>
      <c r="N5" s="112"/>
      <c r="O5" s="198" t="s">
        <v>127</v>
      </c>
      <c r="P5" s="219">
        <f>SUM(D7,F7,H7,J7,L7)</f>
        <v>1</v>
      </c>
      <c r="Q5" s="195">
        <f>IF(Q3="","",SUM(Q3*P5))</f>
        <v>22931</v>
      </c>
      <c r="R5" s="108"/>
      <c r="S5" s="108"/>
      <c r="T5" s="410" t="s">
        <v>143</v>
      </c>
      <c r="W5" s="410"/>
      <c r="CR5" s="4"/>
    </row>
    <row r="6" spans="1:96" ht="12.75" customHeight="1">
      <c r="A6" s="242">
        <f>STAMMDATEN!F20</f>
        <v>0.16</v>
      </c>
      <c r="B6" s="16"/>
      <c r="C6" s="376" t="s">
        <v>208</v>
      </c>
      <c r="D6" s="100">
        <f>IF(STAMMDATEN!$O$18="","",STAMMDATEN!$O$18)</f>
        <v>1</v>
      </c>
      <c r="E6" s="375">
        <v>1</v>
      </c>
      <c r="F6" s="100">
        <f>IF(STAMMDATEN!$P$18="","",STAMMDATEN!$P$18)</f>
        <v>1</v>
      </c>
      <c r="G6" s="375">
        <v>2</v>
      </c>
      <c r="H6" s="100">
        <f>IF(STAMMDATEN!$Q$18="","",STAMMDATEN!$Q$18)</f>
        <v>1</v>
      </c>
      <c r="I6" s="375">
        <v>3</v>
      </c>
      <c r="J6" s="100">
        <f>IF(STAMMDATEN!$R$18="","",STAMMDATEN!$R$18)</f>
        <v>1</v>
      </c>
      <c r="K6" s="375">
        <v>4</v>
      </c>
      <c r="L6" s="100">
        <f>IF(STAMMDATEN!$S$18="","",STAMMDATEN!$S$18)</f>
        <v>1</v>
      </c>
      <c r="M6" s="375">
        <v>5</v>
      </c>
      <c r="N6" s="244">
        <f>SUM(D6,F6,H6,J6,L6)/5</f>
        <v>1</v>
      </c>
      <c r="O6" s="194" t="s">
        <v>124</v>
      </c>
      <c r="P6" s="192">
        <f>STAMMDATEN!F27</f>
        <v>0.2</v>
      </c>
      <c r="Q6" s="96">
        <f>IF(Q3="","",SUM(Q5*(1+P6)))</f>
        <v>27517.2</v>
      </c>
      <c r="R6" s="108"/>
      <c r="S6" s="108"/>
      <c r="T6" s="410"/>
      <c r="W6" s="410"/>
      <c r="CR6" s="4"/>
    </row>
    <row r="7" spans="1:96" ht="12.75">
      <c r="A7" s="126" t="s">
        <v>45</v>
      </c>
      <c r="B7" s="127"/>
      <c r="C7" s="362">
        <f>STAMMDATEN!H20</f>
        <v>35886</v>
      </c>
      <c r="D7" s="374">
        <f>IF(D8="","",SUM(D6*D8))</f>
        <v>0.03</v>
      </c>
      <c r="E7" s="332"/>
      <c r="F7" s="374">
        <f>IF(F8="","",SUM(F6*F8))</f>
        <v>0.2</v>
      </c>
      <c r="G7" s="332"/>
      <c r="H7" s="374">
        <f>IF(H8="","",SUM(H6*H8))</f>
        <v>0.4</v>
      </c>
      <c r="I7" s="332"/>
      <c r="J7" s="374">
        <f>IF(J8="","",SUM(J6*J8))</f>
        <v>0.3</v>
      </c>
      <c r="K7" s="332"/>
      <c r="L7" s="374">
        <f>IF(L8="","",SUM(L6*L8))</f>
        <v>0.07</v>
      </c>
      <c r="M7" s="332"/>
      <c r="N7" s="102"/>
      <c r="O7" s="194" t="s">
        <v>125</v>
      </c>
      <c r="P7" s="192">
        <f>STAMMDATEN!F21</f>
        <v>0.06</v>
      </c>
      <c r="Q7" s="96">
        <f>IF(Q3="","",SUM(Q6*(1+P7)))</f>
        <v>29168.232000000004</v>
      </c>
      <c r="R7" s="108"/>
      <c r="S7" s="108"/>
      <c r="T7" s="410"/>
      <c r="W7" s="410"/>
      <c r="CR7" s="4"/>
    </row>
    <row r="8" spans="1:96" ht="48" customHeight="1">
      <c r="A8" s="371"/>
      <c r="B8" s="362"/>
      <c r="C8" s="372" t="s">
        <v>103</v>
      </c>
      <c r="D8" s="15">
        <f>STAMMDATEN!O16</f>
        <v>0.03</v>
      </c>
      <c r="E8" s="147" t="str">
        <f>STAMMDATEN!O7</f>
        <v>Ermitteln von Aufgabenstellung u. -Umfang</v>
      </c>
      <c r="F8" s="15">
        <f>STAMMDATEN!P16</f>
        <v>0.2</v>
      </c>
      <c r="G8" s="147" t="str">
        <f>STAMMDATEN!P7</f>
        <v>Ermitteln von Planungsvorgaben</v>
      </c>
      <c r="H8" s="15">
        <f>STAMMDATEN!Q16</f>
        <v>0.4</v>
      </c>
      <c r="I8" s="147" t="str">
        <f>STAMMDATEN!Q7</f>
        <v>Vorentwurf</v>
      </c>
      <c r="J8" s="15">
        <f>STAMMDATEN!R16</f>
        <v>0.3</v>
      </c>
      <c r="K8" s="147" t="str">
        <f>STAMMDATEN!R7</f>
        <v>Entwurf</v>
      </c>
      <c r="L8" s="15">
        <f>STAMMDATEN!S16</f>
        <v>0.07</v>
      </c>
      <c r="M8" s="147" t="str">
        <f>STAMMDATEN!S7</f>
        <v>Planfassung </v>
      </c>
      <c r="N8" s="139"/>
      <c r="O8" s="358" t="s">
        <v>195</v>
      </c>
      <c r="P8" s="357" t="s">
        <v>196</v>
      </c>
      <c r="Q8" s="359" t="s">
        <v>197</v>
      </c>
      <c r="R8" s="105"/>
      <c r="S8" s="105"/>
      <c r="T8" s="410"/>
      <c r="W8" s="410"/>
      <c r="CR8" s="4"/>
    </row>
    <row r="9" spans="1:96" ht="12.75">
      <c r="A9" s="120"/>
      <c r="B9" s="16" t="s">
        <v>36</v>
      </c>
      <c r="C9" s="245">
        <f>SUM(D9,F9,H9,J9,L9)</f>
        <v>5</v>
      </c>
      <c r="D9" s="105">
        <f>IF(D8="","",1)</f>
        <v>1</v>
      </c>
      <c r="E9" s="97"/>
      <c r="F9" s="105">
        <f>IF(F8="","",1)</f>
        <v>1</v>
      </c>
      <c r="G9" s="97"/>
      <c r="H9" s="105">
        <f>IF(H8="","",1)</f>
        <v>1</v>
      </c>
      <c r="I9" s="97"/>
      <c r="J9" s="105">
        <f>IF(J8="","",1)</f>
        <v>1</v>
      </c>
      <c r="K9" s="105"/>
      <c r="L9" s="105">
        <f>IF(L8="","",1)</f>
        <v>1</v>
      </c>
      <c r="M9" s="105"/>
      <c r="N9" s="128" t="s">
        <v>50</v>
      </c>
      <c r="O9" s="128" t="s">
        <v>50</v>
      </c>
      <c r="P9" s="203"/>
      <c r="Q9" s="128" t="s">
        <v>50</v>
      </c>
      <c r="R9" s="34"/>
      <c r="S9" s="122" t="str">
        <f ca="1">CELL("dateiname")</f>
        <v>D:\HOAI\aktuell41\[DEM38_6.xls]STAMMDATEN</v>
      </c>
      <c r="T9" s="410"/>
      <c r="W9" s="410"/>
      <c r="X9" s="233" t="s">
        <v>147</v>
      </c>
      <c r="CR9" s="4"/>
    </row>
    <row r="10" spans="1:96" ht="12.75" customHeight="1">
      <c r="A10" s="120"/>
      <c r="B10" s="16" t="s">
        <v>51</v>
      </c>
      <c r="C10" s="16" t="s">
        <v>37</v>
      </c>
      <c r="D10" s="205"/>
      <c r="E10" s="26"/>
      <c r="F10" s="16"/>
      <c r="G10" s="200"/>
      <c r="H10" s="205"/>
      <c r="I10" s="26"/>
      <c r="J10" s="26"/>
      <c r="K10" s="26"/>
      <c r="L10" s="26"/>
      <c r="M10" s="26"/>
      <c r="N10" s="322" t="s">
        <v>111</v>
      </c>
      <c r="O10" s="138">
        <f>P6</f>
        <v>0.2</v>
      </c>
      <c r="P10" s="144"/>
      <c r="Q10" s="137">
        <f>P7</f>
        <v>0.06</v>
      </c>
      <c r="R10" s="348" t="s">
        <v>112</v>
      </c>
      <c r="S10" s="105" t="s">
        <v>114</v>
      </c>
      <c r="T10" s="410"/>
      <c r="U10" s="143" t="s">
        <v>21</v>
      </c>
      <c r="V10" s="257" t="s">
        <v>136</v>
      </c>
      <c r="W10" s="410"/>
      <c r="X10" s="233" t="s">
        <v>141</v>
      </c>
      <c r="CR10" s="4"/>
    </row>
    <row r="11" spans="1:96" ht="12.75" customHeight="1">
      <c r="A11" s="18">
        <f aca="true" t="shared" si="0" ref="A11:A30">IF(B11="","",IF(SUM(D11,F11,H11,J11,L11)=0,"",IF(SUM(D10,F10,H10,J10,L10)/$N$37=1,A10,IF($C$7&lt;=C11,$A$6,$A$5))))</f>
        <v>0.15</v>
      </c>
      <c r="B11" s="103">
        <f>STAMMDATEN!L20</f>
        <v>1</v>
      </c>
      <c r="C11" s="98">
        <f>IF(B11="","",STAMMDATEN!N20)</f>
        <v>35879</v>
      </c>
      <c r="D11" s="100">
        <f>IF($D$6="","",IF($B11="","",IF(STAMMDATEN!O20="",D10,STAMMDATEN!O20)))</f>
        <v>0.2</v>
      </c>
      <c r="E11" s="101">
        <f>IF($Q$3="","",IF($D$6="","",IF(D11="","",SUM(E$4*D11))))</f>
        <v>137.58599999999998</v>
      </c>
      <c r="F11" s="9">
        <f>IF($F$6="","",IF($B11="","",IF(STAMMDATEN!P20="",F10,STAMMDATEN!P20)))</f>
        <v>0.2</v>
      </c>
      <c r="G11" s="99">
        <f aca="true" t="shared" si="1" ref="G11:G30">IF($Q$3="","",IF($D$6="","",IF(F11="","",SUM(G$4*F11))))</f>
        <v>917.24</v>
      </c>
      <c r="H11" s="100">
        <f>IF($H$6="","",IF($B11="","",IF(STAMMDATEN!Q20="",H10,STAMMDATEN!Q20)))</f>
        <v>0.2</v>
      </c>
      <c r="I11" s="101">
        <f aca="true" t="shared" si="2" ref="I11:I30">IF($Q$3="","",IF($D$6="","",IF(H11="","",SUM(I$4*H11))))</f>
        <v>1834.48</v>
      </c>
      <c r="J11" s="9">
        <f>IF($J$6="","",IF($B11="","",IF(STAMMDATEN!R20="",J10,STAMMDATEN!R20)))</f>
        <v>0</v>
      </c>
      <c r="K11" s="99">
        <f aca="true" t="shared" si="3" ref="K11:K30">IF($Q$3="","",IF($D$6="","",IF(J11="","",SUM(K$4*J11))))</f>
        <v>0</v>
      </c>
      <c r="L11" s="100">
        <f>IF($L$6="","",IF($B11="","",IF(STAMMDATEN!S20="",L10,STAMMDATEN!S20)))</f>
        <v>0</v>
      </c>
      <c r="M11" s="101">
        <f aca="true" t="shared" si="4" ref="M11:M30">IF($Q$3="","",IF($D$6="","",IF(L11="","",SUM(M$4*L11))))</f>
        <v>0</v>
      </c>
      <c r="N11" s="99">
        <f>IF(C11="","",SUM($E11,$G11,$I11,$K11,M11))</f>
        <v>2889.306</v>
      </c>
      <c r="O11" s="101">
        <f>IF($O$10="","",IF(C11="","",SUM(N11:N11)*$O$10))</f>
        <v>577.8612</v>
      </c>
      <c r="P11" s="101">
        <f aca="true" t="shared" si="5" ref="P11:P30">SUM(N11:O11)</f>
        <v>3467.1672</v>
      </c>
      <c r="Q11" s="101">
        <f>IF(STAMMDATEN!$F$21="","",SUM(N11:O11)*Q$10)</f>
        <v>208.03003199999998</v>
      </c>
      <c r="R11" s="101">
        <f>SUM(P11,Q11)</f>
        <v>3675.197232</v>
      </c>
      <c r="S11" s="232" t="s">
        <v>128</v>
      </c>
      <c r="T11" s="105"/>
      <c r="U11" s="225">
        <f aca="true" t="shared" si="6" ref="U11:U30">IF($A11="","",($A11*SUM(R11:R11)))</f>
        <v>551.2795848</v>
      </c>
      <c r="V11" s="258"/>
      <c r="W11" s="249"/>
      <c r="X11" s="233" t="s">
        <v>139</v>
      </c>
      <c r="CR11" s="4"/>
    </row>
    <row r="12" spans="1:96" ht="12.75">
      <c r="A12" s="18">
        <f t="shared" si="0"/>
        <v>0.15</v>
      </c>
      <c r="B12" s="103">
        <f>STAMMDATEN!L21</f>
        <v>2</v>
      </c>
      <c r="C12" s="98">
        <f>IF(B12="","",IF(SUM(D11,F11,H11,J11)/$C$9=1,C11,STAMMDATEN!N21))</f>
        <v>35880</v>
      </c>
      <c r="D12" s="100">
        <f>IF($D$6="","",IF($B12="","",IF(STAMMDATEN!O21="",D11,STAMMDATEN!O21)))</f>
        <v>0.4</v>
      </c>
      <c r="E12" s="101">
        <f>IF($Q$3="","",IF($D$6="","",IF(D12="","",SUM(E$4*D12))))</f>
        <v>275.17199999999997</v>
      </c>
      <c r="F12" s="9">
        <f>IF($F$6="","",IF($B12="","",IF(STAMMDATEN!P21="",F11,STAMMDATEN!P21)))</f>
        <v>0.4</v>
      </c>
      <c r="G12" s="99">
        <f t="shared" si="1"/>
        <v>1834.48</v>
      </c>
      <c r="H12" s="100">
        <f>IF($H$6="","",IF($B12="","",IF(STAMMDATEN!Q21="",H11,STAMMDATEN!Q21)))</f>
        <v>0.4</v>
      </c>
      <c r="I12" s="101">
        <f t="shared" si="2"/>
        <v>3668.96</v>
      </c>
      <c r="J12" s="9">
        <f>IF($J$6="","",IF($B12="","",IF(STAMMDATEN!R21="",J11,STAMMDATEN!R21)))</f>
        <v>0</v>
      </c>
      <c r="K12" s="99">
        <f t="shared" si="3"/>
        <v>0</v>
      </c>
      <c r="L12" s="100">
        <f>IF($L$6="","",IF($B12="","",IF(STAMMDATEN!S21="",L11,STAMMDATEN!S21)))</f>
        <v>0</v>
      </c>
      <c r="M12" s="101">
        <f t="shared" si="4"/>
        <v>0</v>
      </c>
      <c r="N12" s="99">
        <f aca="true" t="shared" si="7" ref="N12:N30">IF(C12="","",SUM($E12,$G12,$I12,$K12,M12))</f>
        <v>5778.612</v>
      </c>
      <c r="O12" s="101">
        <f aca="true" t="shared" si="8" ref="O12:O30">IF($O$10="","",IF(C12="","",SUM(N12:N12)*$O$10))</f>
        <v>1155.7224</v>
      </c>
      <c r="P12" s="101">
        <f t="shared" si="5"/>
        <v>6934.3344</v>
      </c>
      <c r="Q12" s="101">
        <f>IF(STAMMDATEN!$F$21="","",SUM(N12:O12)*Q$10)</f>
        <v>416.06006399999995</v>
      </c>
      <c r="R12" s="101">
        <f aca="true" t="shared" si="9" ref="R12:R30">SUM(P12,Q12)</f>
        <v>7350.394464</v>
      </c>
      <c r="S12" s="207">
        <f>IF($B12="","",MAX($R$11:R11))</f>
        <v>3675.197232</v>
      </c>
      <c r="T12" s="105">
        <f>IF($A12="","",IF(SUM($D11,$F11,$H11,$J11)/$C$9=1,"",IF(SUM($D12,$F12,$H12,$J12)/$C$9=1,1,"")))</f>
      </c>
      <c r="U12" s="225">
        <f t="shared" si="6"/>
        <v>1102.5591696</v>
      </c>
      <c r="V12" s="259">
        <f aca="true" t="shared" si="10" ref="V12:V29">IF($A12="","",IF(U11="","",IF($B12=$B11,"",IF(SUM($D11,$F11,$H11,$J11)/$C$9=1,"",SUM($A12-$A11)*SUM(R11:R11)))))</f>
        <v>0</v>
      </c>
      <c r="W12" s="228">
        <f aca="true" t="shared" si="11" ref="W12:W30">IF($A12="","",IF($A11="","",IF($A11=$A$6,"",IF($A12=$A11,"",$B12))))</f>
      </c>
      <c r="X12" s="142">
        <f>IF(W12=$B12,$C12,"")</f>
      </c>
      <c r="CR12" s="4"/>
    </row>
    <row r="13" spans="1:96" ht="12.75">
      <c r="A13" s="18">
        <f>IF(B13="","",IF(SUM(D13,F13,H13,J13,L13)=0,"",IF(SUM(D12,F12,H12,J12,L12)/$N$37=1,A12,IF($C$7&lt;=C13,$A$6,$A$5))))</f>
        <v>0.15</v>
      </c>
      <c r="B13" s="103">
        <f>STAMMDATEN!L22</f>
        <v>3</v>
      </c>
      <c r="C13" s="98">
        <f>IF(B13="","",IF(SUM(D12,F12,H12,J12)/$C$9=1,C12,STAMMDATEN!N22))</f>
        <v>35881</v>
      </c>
      <c r="D13" s="100">
        <f>IF($D$6="","",IF($B13="","",IF(STAMMDATEN!O22="",D12,STAMMDATEN!O22)))</f>
        <v>0.6</v>
      </c>
      <c r="E13" s="101">
        <f>IF($Q$3="","",IF($D$6="","",IF(D13="","",SUM(E$4*D13))))</f>
        <v>412.758</v>
      </c>
      <c r="F13" s="9">
        <f>IF($F$6="","",IF($B13="","",IF(STAMMDATEN!P22="",F12,STAMMDATEN!P22)))</f>
        <v>0.6</v>
      </c>
      <c r="G13" s="99">
        <f t="shared" si="1"/>
        <v>2751.72</v>
      </c>
      <c r="H13" s="100">
        <f>IF($H$6="","",IF($B13="","",IF(STAMMDATEN!Q22="",H12,STAMMDATEN!Q22)))</f>
        <v>0.6</v>
      </c>
      <c r="I13" s="101">
        <f t="shared" si="2"/>
        <v>5503.44</v>
      </c>
      <c r="J13" s="9">
        <f>IF($J$6="","",IF($B13="","",IF(STAMMDATEN!R22="",J12,STAMMDATEN!R22)))</f>
        <v>0.2</v>
      </c>
      <c r="K13" s="99">
        <f t="shared" si="3"/>
        <v>1375.8600000000001</v>
      </c>
      <c r="L13" s="100">
        <f>IF($L$6="","",IF($B13="","",IF(STAMMDATEN!S22="",L12,STAMMDATEN!S22)))</f>
        <v>0.2</v>
      </c>
      <c r="M13" s="101">
        <f t="shared" si="4"/>
        <v>321.03400000000005</v>
      </c>
      <c r="N13" s="99">
        <f t="shared" si="7"/>
        <v>10364.812</v>
      </c>
      <c r="O13" s="101">
        <f t="shared" si="8"/>
        <v>2072.9624</v>
      </c>
      <c r="P13" s="101">
        <f t="shared" si="5"/>
        <v>12437.7744</v>
      </c>
      <c r="Q13" s="101">
        <f>IF(STAMMDATEN!$F$21="","",SUM(N13:O13)*Q$10)</f>
        <v>746.266464</v>
      </c>
      <c r="R13" s="101">
        <f t="shared" si="9"/>
        <v>13184.040864</v>
      </c>
      <c r="S13" s="207">
        <f>IF($B13="","",MAX($R$11:R12))</f>
        <v>7350.394464</v>
      </c>
      <c r="T13" s="105">
        <f aca="true" t="shared" si="12" ref="T13:T30">IF($A13="","",IF(SUM($D12,$F12,$H12,$J12)/$C$9=1,"",IF(SUM($D13,$F13,$H13,$J13)/$C$9=1,1,"")))</f>
      </c>
      <c r="U13" s="225">
        <f t="shared" si="6"/>
        <v>1977.6061296</v>
      </c>
      <c r="V13" s="259">
        <f t="shared" si="10"/>
        <v>0</v>
      </c>
      <c r="W13" s="228">
        <f t="shared" si="11"/>
      </c>
      <c r="X13" s="142">
        <f aca="true" t="shared" si="13" ref="X13:X30">IF(W13=B13,C13,"")</f>
      </c>
      <c r="CR13" s="4"/>
    </row>
    <row r="14" spans="1:96" ht="12.75">
      <c r="A14" s="18">
        <f t="shared" si="0"/>
      </c>
      <c r="B14" s="103">
        <f>STAMMDATEN!L23</f>
      </c>
      <c r="C14" s="98">
        <f>IF(B14="","",IF(SUM(D13,F13,H13,J13)/$C$9=1,C13,STAMMDATEN!N23))</f>
      </c>
      <c r="D14" s="100">
        <f>IF($D$6="","",IF($B14="","",IF(STAMMDATEN!O23="",D13,STAMMDATEN!O23)))</f>
      </c>
      <c r="E14" s="101">
        <f aca="true" t="shared" si="14" ref="E14:E30">IF($Q$3="","",IF($D$6="","",IF(D14="","",SUM(E$4*D14))))</f>
      </c>
      <c r="F14" s="9">
        <f>IF($F$6="","",IF($B14="","",IF(STAMMDATEN!P23="",F13,STAMMDATEN!P23)))</f>
      </c>
      <c r="G14" s="99">
        <f t="shared" si="1"/>
      </c>
      <c r="H14" s="100">
        <f>IF($H$6="","",IF($B14="","",IF(STAMMDATEN!Q23="",H13,STAMMDATEN!Q23)))</f>
      </c>
      <c r="I14" s="101">
        <f t="shared" si="2"/>
      </c>
      <c r="J14" s="9">
        <f>IF($J$6="","",IF($B14="","",IF(STAMMDATEN!R23="",J13,STAMMDATEN!R23)))</f>
      </c>
      <c r="K14" s="99">
        <f t="shared" si="3"/>
      </c>
      <c r="L14" s="100">
        <f>IF($L$6="","",IF($B14="","",IF(STAMMDATEN!S23="",L13,STAMMDATEN!S23)))</f>
      </c>
      <c r="M14" s="101">
        <f t="shared" si="4"/>
      </c>
      <c r="N14" s="99">
        <f t="shared" si="7"/>
      </c>
      <c r="O14" s="101">
        <f t="shared" si="8"/>
      </c>
      <c r="P14" s="101">
        <f t="shared" si="5"/>
        <v>0</v>
      </c>
      <c r="Q14" s="101">
        <f>IF(STAMMDATEN!$F$21="","",SUM(N14:O14)*Q$10)</f>
        <v>0</v>
      </c>
      <c r="R14" s="101">
        <f t="shared" si="9"/>
        <v>0</v>
      </c>
      <c r="S14" s="207">
        <f>IF($B14="","",MAX($R$11:R13))</f>
      </c>
      <c r="T14" s="105">
        <f t="shared" si="12"/>
      </c>
      <c r="U14" s="225">
        <f t="shared" si="6"/>
      </c>
      <c r="V14" s="259">
        <f t="shared" si="10"/>
      </c>
      <c r="W14" s="228">
        <f t="shared" si="11"/>
      </c>
      <c r="X14" s="142">
        <f t="shared" si="13"/>
      </c>
      <c r="CR14" s="4"/>
    </row>
    <row r="15" spans="1:96" ht="12.75">
      <c r="A15" s="18">
        <f t="shared" si="0"/>
      </c>
      <c r="B15" s="103">
        <f>STAMMDATEN!L24</f>
      </c>
      <c r="C15" s="98">
        <f>IF(B15="","",IF(SUM(D14,F14,H14,J14)/$C$9=1,C14,STAMMDATEN!N24))</f>
      </c>
      <c r="D15" s="100">
        <f>IF($D$6="","",IF($B15="","",IF(STAMMDATEN!O24="",D14,STAMMDATEN!O24)))</f>
      </c>
      <c r="E15" s="101">
        <f t="shared" si="14"/>
      </c>
      <c r="F15" s="9">
        <f>IF($F$6="","",IF($B15="","",IF(STAMMDATEN!P24="",F14,STAMMDATEN!P24)))</f>
      </c>
      <c r="G15" s="99">
        <f t="shared" si="1"/>
      </c>
      <c r="H15" s="100">
        <f>IF($H$6="","",IF($B15="","",IF(STAMMDATEN!Q24="",H14,STAMMDATEN!Q24)))</f>
      </c>
      <c r="I15" s="101">
        <f t="shared" si="2"/>
      </c>
      <c r="J15" s="9">
        <f>IF($J$6="","",IF($B15="","",IF(STAMMDATEN!R24="",J14,STAMMDATEN!R24)))</f>
      </c>
      <c r="K15" s="99">
        <f t="shared" si="3"/>
      </c>
      <c r="L15" s="100">
        <f>IF($L$6="","",IF($B15="","",IF(STAMMDATEN!S24="",L14,STAMMDATEN!S24)))</f>
      </c>
      <c r="M15" s="101">
        <f t="shared" si="4"/>
      </c>
      <c r="N15" s="99">
        <f t="shared" si="7"/>
      </c>
      <c r="O15" s="101">
        <f t="shared" si="8"/>
      </c>
      <c r="P15" s="101">
        <f t="shared" si="5"/>
        <v>0</v>
      </c>
      <c r="Q15" s="101">
        <f>IF(STAMMDATEN!$F$21="","",SUM(N15:O15)*Q$10)</f>
        <v>0</v>
      </c>
      <c r="R15" s="101">
        <f t="shared" si="9"/>
        <v>0</v>
      </c>
      <c r="S15" s="207">
        <f>IF($B15="","",MAX($R$11:R14))</f>
      </c>
      <c r="T15" s="105">
        <f t="shared" si="12"/>
      </c>
      <c r="U15" s="225">
        <f t="shared" si="6"/>
      </c>
      <c r="V15" s="259">
        <f t="shared" si="10"/>
      </c>
      <c r="W15" s="228">
        <f t="shared" si="11"/>
      </c>
      <c r="X15" s="142">
        <f t="shared" si="13"/>
      </c>
      <c r="CR15" s="4"/>
    </row>
    <row r="16" spans="1:96" ht="12.75">
      <c r="A16" s="18">
        <f t="shared" si="0"/>
      </c>
      <c r="B16" s="103">
        <f>STAMMDATEN!L25</f>
      </c>
      <c r="C16" s="98">
        <f>IF(B16="","",IF(SUM(D15,F15,H15,J15)/$C$9=1,C15,STAMMDATEN!N25))</f>
      </c>
      <c r="D16" s="100">
        <f>IF($D$6="","",IF($B16="","",IF(STAMMDATEN!O25="",D15,STAMMDATEN!O25)))</f>
      </c>
      <c r="E16" s="101">
        <f t="shared" si="14"/>
      </c>
      <c r="F16" s="9">
        <f>IF($F$6="","",IF($B16="","",IF(STAMMDATEN!P25="",F15,STAMMDATEN!P25)))</f>
      </c>
      <c r="G16" s="99">
        <f t="shared" si="1"/>
      </c>
      <c r="H16" s="100">
        <f>IF($H$6="","",IF($B16="","",IF(STAMMDATEN!Q25="",H15,STAMMDATEN!Q25)))</f>
      </c>
      <c r="I16" s="101">
        <f t="shared" si="2"/>
      </c>
      <c r="J16" s="9">
        <f>IF($J$6="","",IF($B16="","",IF(STAMMDATEN!R25="",J15,STAMMDATEN!R25)))</f>
      </c>
      <c r="K16" s="99">
        <f t="shared" si="3"/>
      </c>
      <c r="L16" s="100">
        <f>IF($L$6="","",IF($B16="","",IF(STAMMDATEN!S25="",L15,STAMMDATEN!S25)))</f>
      </c>
      <c r="M16" s="101">
        <f t="shared" si="4"/>
      </c>
      <c r="N16" s="99">
        <f t="shared" si="7"/>
      </c>
      <c r="O16" s="101">
        <f t="shared" si="8"/>
      </c>
      <c r="P16" s="101">
        <f t="shared" si="5"/>
        <v>0</v>
      </c>
      <c r="Q16" s="101">
        <f>IF(STAMMDATEN!$F$21="","",SUM(N16:O16)*Q$10)</f>
        <v>0</v>
      </c>
      <c r="R16" s="101">
        <f t="shared" si="9"/>
        <v>0</v>
      </c>
      <c r="S16" s="207">
        <f>IF($B16="","",MAX($R$11:R15))</f>
      </c>
      <c r="T16" s="105">
        <f t="shared" si="12"/>
      </c>
      <c r="U16" s="225">
        <f t="shared" si="6"/>
      </c>
      <c r="V16" s="259">
        <f t="shared" si="10"/>
      </c>
      <c r="W16" s="228">
        <f t="shared" si="11"/>
      </c>
      <c r="X16" s="142">
        <f t="shared" si="13"/>
      </c>
      <c r="CR16" s="4"/>
    </row>
    <row r="17" spans="1:96" ht="12.75">
      <c r="A17" s="18">
        <f t="shared" si="0"/>
      </c>
      <c r="B17" s="103">
        <f>STAMMDATEN!L26</f>
      </c>
      <c r="C17" s="98">
        <f>IF(B17="","",IF(SUM(D16,F16,H16,J16)/$C$9=1,C16,STAMMDATEN!N26))</f>
      </c>
      <c r="D17" s="100">
        <f>IF($D$6="","",IF($B17="","",IF(STAMMDATEN!O26="",D16,STAMMDATEN!O26)))</f>
      </c>
      <c r="E17" s="101">
        <f t="shared" si="14"/>
      </c>
      <c r="F17" s="9">
        <f>IF($F$6="","",IF($B17="","",IF(STAMMDATEN!P26="",F16,STAMMDATEN!P26)))</f>
      </c>
      <c r="G17" s="99">
        <f t="shared" si="1"/>
      </c>
      <c r="H17" s="100">
        <f>IF($H$6="","",IF($B17="","",IF(STAMMDATEN!Q26="",H16,STAMMDATEN!Q26)))</f>
      </c>
      <c r="I17" s="101">
        <f t="shared" si="2"/>
      </c>
      <c r="J17" s="9">
        <f>IF($J$6="","",IF($B17="","",IF(STAMMDATEN!R26="",J16,STAMMDATEN!R26)))</f>
      </c>
      <c r="K17" s="99">
        <f t="shared" si="3"/>
      </c>
      <c r="L17" s="100">
        <f>IF($L$6="","",IF($B17="","",IF(STAMMDATEN!S26="",L16,STAMMDATEN!S26)))</f>
      </c>
      <c r="M17" s="101">
        <f t="shared" si="4"/>
      </c>
      <c r="N17" s="99">
        <f t="shared" si="7"/>
      </c>
      <c r="O17" s="101">
        <f t="shared" si="8"/>
      </c>
      <c r="P17" s="101">
        <f t="shared" si="5"/>
        <v>0</v>
      </c>
      <c r="Q17" s="101">
        <f>IF(STAMMDATEN!$F$21="","",SUM(N17:O17)*Q$10)</f>
        <v>0</v>
      </c>
      <c r="R17" s="101">
        <f t="shared" si="9"/>
        <v>0</v>
      </c>
      <c r="S17" s="207">
        <f>IF($B17="","",MAX($R$11:R16))</f>
      </c>
      <c r="T17" s="105">
        <f t="shared" si="12"/>
      </c>
      <c r="U17" s="225">
        <f t="shared" si="6"/>
      </c>
      <c r="V17" s="259">
        <f t="shared" si="10"/>
      </c>
      <c r="W17" s="228">
        <f t="shared" si="11"/>
      </c>
      <c r="X17" s="142">
        <f t="shared" si="13"/>
      </c>
      <c r="CR17" s="4"/>
    </row>
    <row r="18" spans="1:96" ht="12.75">
      <c r="A18" s="18">
        <f t="shared" si="0"/>
      </c>
      <c r="B18" s="103">
        <f>STAMMDATEN!L27</f>
      </c>
      <c r="C18" s="98">
        <f>IF(B18="","",IF(SUM(D17,F17,H17,J17)/$C$9=1,C17,STAMMDATEN!N27))</f>
      </c>
      <c r="D18" s="100">
        <f>IF($D$6="","",IF($B18="","",IF(STAMMDATEN!O27="",D17,STAMMDATEN!O27)))</f>
      </c>
      <c r="E18" s="101">
        <f t="shared" si="14"/>
      </c>
      <c r="F18" s="9">
        <f>IF($F$6="","",IF($B18="","",IF(STAMMDATEN!P27="",F17,STAMMDATEN!P27)))</f>
      </c>
      <c r="G18" s="99">
        <f t="shared" si="1"/>
      </c>
      <c r="H18" s="100">
        <f>IF($H$6="","",IF($B18="","",IF(STAMMDATEN!Q27="",H17,STAMMDATEN!Q27)))</f>
      </c>
      <c r="I18" s="101">
        <f t="shared" si="2"/>
      </c>
      <c r="J18" s="9">
        <f>IF($J$6="","",IF($B18="","",IF(STAMMDATEN!R27="",J17,STAMMDATEN!R27)))</f>
      </c>
      <c r="K18" s="99">
        <f t="shared" si="3"/>
      </c>
      <c r="L18" s="100">
        <f>IF($L$6="","",IF($B18="","",IF(STAMMDATEN!S27="",L17,STAMMDATEN!S27)))</f>
      </c>
      <c r="M18" s="101">
        <f t="shared" si="4"/>
      </c>
      <c r="N18" s="99">
        <f t="shared" si="7"/>
      </c>
      <c r="O18" s="101">
        <f t="shared" si="8"/>
      </c>
      <c r="P18" s="101">
        <f t="shared" si="5"/>
        <v>0</v>
      </c>
      <c r="Q18" s="101">
        <f>IF(STAMMDATEN!$F$21="","",SUM(N18:O18)*Q$10)</f>
        <v>0</v>
      </c>
      <c r="R18" s="101">
        <f t="shared" si="9"/>
        <v>0</v>
      </c>
      <c r="S18" s="207">
        <f>IF($B18="","",MAX($R$11:R17))</f>
      </c>
      <c r="T18" s="105">
        <f t="shared" si="12"/>
      </c>
      <c r="U18" s="225">
        <f t="shared" si="6"/>
      </c>
      <c r="V18" s="259">
        <f t="shared" si="10"/>
      </c>
      <c r="W18" s="228">
        <f t="shared" si="11"/>
      </c>
      <c r="X18" s="142">
        <f t="shared" si="13"/>
      </c>
      <c r="CR18" s="4"/>
    </row>
    <row r="19" spans="1:96" ht="12.75">
      <c r="A19" s="18">
        <f t="shared" si="0"/>
      </c>
      <c r="B19" s="103">
        <f>STAMMDATEN!L28</f>
      </c>
      <c r="C19" s="98">
        <f>IF(B19="","",IF(SUM(D18,F18,H18,J18)/$C$9=1,C18,STAMMDATEN!N28))</f>
      </c>
      <c r="D19" s="100">
        <f>IF($D$6="","",IF($B19="","",IF(STAMMDATEN!O28="",D18,STAMMDATEN!O28)))</f>
      </c>
      <c r="E19" s="101">
        <f t="shared" si="14"/>
      </c>
      <c r="F19" s="9">
        <f>IF($F$6="","",IF($B19="","",IF(STAMMDATEN!P28="",F18,STAMMDATEN!P28)))</f>
      </c>
      <c r="G19" s="99">
        <f t="shared" si="1"/>
      </c>
      <c r="H19" s="100">
        <f>IF($H$6="","",IF($B19="","",IF(STAMMDATEN!Q28="",H18,STAMMDATEN!Q28)))</f>
      </c>
      <c r="I19" s="101">
        <f t="shared" si="2"/>
      </c>
      <c r="J19" s="9">
        <f>IF($J$6="","",IF($B19="","",IF(STAMMDATEN!R28="",J18,STAMMDATEN!R28)))</f>
      </c>
      <c r="K19" s="99">
        <f t="shared" si="3"/>
      </c>
      <c r="L19" s="100">
        <f>IF($L$6="","",IF($B19="","",IF(STAMMDATEN!S28="",L18,STAMMDATEN!S28)))</f>
      </c>
      <c r="M19" s="101">
        <f t="shared" si="4"/>
      </c>
      <c r="N19" s="99">
        <f t="shared" si="7"/>
      </c>
      <c r="O19" s="101">
        <f t="shared" si="8"/>
      </c>
      <c r="P19" s="101">
        <f t="shared" si="5"/>
        <v>0</v>
      </c>
      <c r="Q19" s="101">
        <f>IF(STAMMDATEN!$F$21="","",SUM(N19:O19)*Q$10)</f>
        <v>0</v>
      </c>
      <c r="R19" s="101">
        <f t="shared" si="9"/>
        <v>0</v>
      </c>
      <c r="S19" s="207">
        <f>IF($B19="","",MAX($R$11:R18))</f>
      </c>
      <c r="T19" s="105">
        <f t="shared" si="12"/>
      </c>
      <c r="U19" s="225">
        <f t="shared" si="6"/>
      </c>
      <c r="V19" s="259">
        <f t="shared" si="10"/>
      </c>
      <c r="W19" s="228">
        <f t="shared" si="11"/>
      </c>
      <c r="X19" s="142">
        <f t="shared" si="13"/>
      </c>
      <c r="CR19" s="4"/>
    </row>
    <row r="20" spans="1:96" ht="12.75">
      <c r="A20" s="18">
        <f t="shared" si="0"/>
      </c>
      <c r="B20" s="103">
        <f>STAMMDATEN!L29</f>
      </c>
      <c r="C20" s="98">
        <f>IF(B20="","",IF(SUM(D19,F19,H19,J19)/$C$9=1,C19,STAMMDATEN!N29))</f>
      </c>
      <c r="D20" s="100">
        <f>IF($D$6="","",IF($B20="","",IF(STAMMDATEN!O29="",D19,STAMMDATEN!O29)))</f>
      </c>
      <c r="E20" s="101">
        <f t="shared" si="14"/>
      </c>
      <c r="F20" s="9">
        <f>IF($F$6="","",IF($B20="","",IF(STAMMDATEN!P29="",F19,STAMMDATEN!P29)))</f>
      </c>
      <c r="G20" s="99">
        <f t="shared" si="1"/>
      </c>
      <c r="H20" s="100">
        <f>IF($H$6="","",IF($B20="","",IF(STAMMDATEN!Q29="",H19,STAMMDATEN!Q29)))</f>
      </c>
      <c r="I20" s="101">
        <f t="shared" si="2"/>
      </c>
      <c r="J20" s="9">
        <f>IF($J$6="","",IF($B20="","",IF(STAMMDATEN!R29="",J19,STAMMDATEN!R29)))</f>
      </c>
      <c r="K20" s="99">
        <f t="shared" si="3"/>
      </c>
      <c r="L20" s="100">
        <f>IF($L$6="","",IF($B20="","",IF(STAMMDATEN!S29="",L19,STAMMDATEN!S29)))</f>
      </c>
      <c r="M20" s="101">
        <f t="shared" si="4"/>
      </c>
      <c r="N20" s="99">
        <f t="shared" si="7"/>
      </c>
      <c r="O20" s="101">
        <f t="shared" si="8"/>
      </c>
      <c r="P20" s="101">
        <f t="shared" si="5"/>
        <v>0</v>
      </c>
      <c r="Q20" s="101">
        <f>IF(STAMMDATEN!$F$21="","",SUM(N20:O20)*Q$10)</f>
        <v>0</v>
      </c>
      <c r="R20" s="101">
        <f t="shared" si="9"/>
        <v>0</v>
      </c>
      <c r="S20" s="207">
        <f>IF($B20="","",MAX($R$11:R19))</f>
      </c>
      <c r="T20" s="105">
        <f t="shared" si="12"/>
      </c>
      <c r="U20" s="225">
        <f t="shared" si="6"/>
      </c>
      <c r="V20" s="259">
        <f t="shared" si="10"/>
      </c>
      <c r="W20" s="228">
        <f t="shared" si="11"/>
      </c>
      <c r="X20" s="142">
        <f t="shared" si="13"/>
      </c>
      <c r="CR20" s="4"/>
    </row>
    <row r="21" spans="1:96" ht="12.75">
      <c r="A21" s="18">
        <f t="shared" si="0"/>
      </c>
      <c r="B21" s="103">
        <f>STAMMDATEN!L30</f>
      </c>
      <c r="C21" s="98">
        <f>IF(B21="","",IF(SUM(D20,F20,H20,J20)/$C$9=1,C20,STAMMDATEN!N30))</f>
      </c>
      <c r="D21" s="100">
        <f>IF($D$6="","",IF($B21="","",IF(STAMMDATEN!O30="",D20,STAMMDATEN!O30)))</f>
      </c>
      <c r="E21" s="101">
        <f t="shared" si="14"/>
      </c>
      <c r="F21" s="9">
        <f>IF($F$6="","",IF($B21="","",IF(STAMMDATEN!P30="",F20,STAMMDATEN!P30)))</f>
      </c>
      <c r="G21" s="99">
        <f t="shared" si="1"/>
      </c>
      <c r="H21" s="100">
        <f>IF($H$6="","",IF($B21="","",IF(STAMMDATEN!Q30="",H20,STAMMDATEN!Q30)))</f>
      </c>
      <c r="I21" s="101">
        <f t="shared" si="2"/>
      </c>
      <c r="J21" s="9">
        <f>IF($J$6="","",IF($B21="","",IF(STAMMDATEN!R30="",J20,STAMMDATEN!R30)))</f>
      </c>
      <c r="K21" s="99">
        <f t="shared" si="3"/>
      </c>
      <c r="L21" s="100">
        <f>IF($L$6="","",IF($B21="","",IF(STAMMDATEN!S30="",L20,STAMMDATEN!S30)))</f>
      </c>
      <c r="M21" s="101">
        <f t="shared" si="4"/>
      </c>
      <c r="N21" s="99">
        <f t="shared" si="7"/>
      </c>
      <c r="O21" s="101">
        <f t="shared" si="8"/>
      </c>
      <c r="P21" s="101">
        <f t="shared" si="5"/>
        <v>0</v>
      </c>
      <c r="Q21" s="101">
        <f>IF(STAMMDATEN!$F$21="","",SUM(N21:O21)*Q$10)</f>
        <v>0</v>
      </c>
      <c r="R21" s="101">
        <f t="shared" si="9"/>
        <v>0</v>
      </c>
      <c r="S21" s="207">
        <f>IF($B21="","",MAX($R$11:R20))</f>
      </c>
      <c r="T21" s="105">
        <f t="shared" si="12"/>
      </c>
      <c r="U21" s="225">
        <f t="shared" si="6"/>
      </c>
      <c r="V21" s="259">
        <f t="shared" si="10"/>
      </c>
      <c r="W21" s="228">
        <f t="shared" si="11"/>
      </c>
      <c r="X21" s="142">
        <f t="shared" si="13"/>
      </c>
      <c r="CR21" s="4"/>
    </row>
    <row r="22" spans="1:96" ht="12.75">
      <c r="A22" s="18">
        <f t="shared" si="0"/>
      </c>
      <c r="B22" s="103">
        <f>STAMMDATEN!L31</f>
      </c>
      <c r="C22" s="98">
        <f>IF(B22="","",IF(SUM(D21,F21,H21,J21)/$C$9=1,C21,STAMMDATEN!N31))</f>
      </c>
      <c r="D22" s="100">
        <f>IF($D$6="","",IF($B22="","",IF(STAMMDATEN!O31="",D21,STAMMDATEN!O31)))</f>
      </c>
      <c r="E22" s="101">
        <f t="shared" si="14"/>
      </c>
      <c r="F22" s="9">
        <f>IF($F$6="","",IF($B22="","",IF(STAMMDATEN!P31="",F21,STAMMDATEN!P31)))</f>
      </c>
      <c r="G22" s="99">
        <f t="shared" si="1"/>
      </c>
      <c r="H22" s="100">
        <f>IF($H$6="","",IF($B22="","",IF(STAMMDATEN!Q31="",H21,STAMMDATEN!Q31)))</f>
      </c>
      <c r="I22" s="101">
        <f t="shared" si="2"/>
      </c>
      <c r="J22" s="9">
        <f>IF($J$6="","",IF($B22="","",IF(STAMMDATEN!R31="",J21,STAMMDATEN!R31)))</f>
      </c>
      <c r="K22" s="99">
        <f t="shared" si="3"/>
      </c>
      <c r="L22" s="100">
        <f>IF($L$6="","",IF($B22="","",IF(STAMMDATEN!S31="",L21,STAMMDATEN!S31)))</f>
      </c>
      <c r="M22" s="101">
        <f t="shared" si="4"/>
      </c>
      <c r="N22" s="99">
        <f t="shared" si="7"/>
      </c>
      <c r="O22" s="101">
        <f t="shared" si="8"/>
      </c>
      <c r="P22" s="101">
        <f t="shared" si="5"/>
        <v>0</v>
      </c>
      <c r="Q22" s="101">
        <f>IF(STAMMDATEN!$F$21="","",SUM(N22:O22)*Q$10)</f>
        <v>0</v>
      </c>
      <c r="R22" s="101">
        <f t="shared" si="9"/>
        <v>0</v>
      </c>
      <c r="S22" s="207">
        <f>IF($B22="","",MAX($R$11:R21))</f>
      </c>
      <c r="T22" s="105">
        <f t="shared" si="12"/>
      </c>
      <c r="U22" s="225">
        <f t="shared" si="6"/>
      </c>
      <c r="V22" s="259">
        <f t="shared" si="10"/>
      </c>
      <c r="W22" s="228">
        <f t="shared" si="11"/>
      </c>
      <c r="X22" s="142">
        <f t="shared" si="13"/>
      </c>
      <c r="CR22" s="4"/>
    </row>
    <row r="23" spans="1:96" ht="12.75">
      <c r="A23" s="18">
        <f t="shared" si="0"/>
      </c>
      <c r="B23" s="103">
        <f>STAMMDATEN!L32</f>
      </c>
      <c r="C23" s="98">
        <f>IF(B23="","",IF(SUM(D22,F22,H22,J22)/$C$9=1,C22,STAMMDATEN!N32))</f>
      </c>
      <c r="D23" s="100">
        <f>IF($D$6="","",IF($B23="","",IF(STAMMDATEN!O32="",D22,STAMMDATEN!O32)))</f>
      </c>
      <c r="E23" s="101">
        <f t="shared" si="14"/>
      </c>
      <c r="F23" s="9">
        <f>IF($F$6="","",IF($B23="","",IF(STAMMDATEN!P32="",F22,STAMMDATEN!P32)))</f>
      </c>
      <c r="G23" s="99">
        <f t="shared" si="1"/>
      </c>
      <c r="H23" s="100">
        <f>IF($H$6="","",IF($B23="","",IF(STAMMDATEN!Q32="",H22,STAMMDATEN!Q32)))</f>
      </c>
      <c r="I23" s="101">
        <f t="shared" si="2"/>
      </c>
      <c r="J23" s="9">
        <f>IF($J$6="","",IF($B23="","",IF(STAMMDATEN!R32="",J22,STAMMDATEN!R32)))</f>
      </c>
      <c r="K23" s="99">
        <f t="shared" si="3"/>
      </c>
      <c r="L23" s="100">
        <f>IF($L$6="","",IF($B23="","",IF(STAMMDATEN!S32="",L22,STAMMDATEN!S32)))</f>
      </c>
      <c r="M23" s="101">
        <f t="shared" si="4"/>
      </c>
      <c r="N23" s="99">
        <f t="shared" si="7"/>
      </c>
      <c r="O23" s="101">
        <f t="shared" si="8"/>
      </c>
      <c r="P23" s="101">
        <f t="shared" si="5"/>
        <v>0</v>
      </c>
      <c r="Q23" s="101">
        <f>IF(STAMMDATEN!$F$21="","",SUM(N23:O23)*Q$10)</f>
        <v>0</v>
      </c>
      <c r="R23" s="101">
        <f t="shared" si="9"/>
        <v>0</v>
      </c>
      <c r="S23" s="207">
        <f>IF($B23="","",MAX($R$11:R22))</f>
      </c>
      <c r="T23" s="105">
        <f t="shared" si="12"/>
      </c>
      <c r="U23" s="225">
        <f t="shared" si="6"/>
      </c>
      <c r="V23" s="259">
        <f t="shared" si="10"/>
      </c>
      <c r="W23" s="228">
        <f t="shared" si="11"/>
      </c>
      <c r="X23" s="142">
        <f t="shared" si="13"/>
      </c>
      <c r="CR23" s="4"/>
    </row>
    <row r="24" spans="1:96" ht="12.75">
      <c r="A24" s="18">
        <f t="shared" si="0"/>
      </c>
      <c r="B24" s="103">
        <f>STAMMDATEN!L33</f>
      </c>
      <c r="C24" s="98">
        <f>IF(B24="","",IF(SUM(D23,F23,H23,J23)/$C$9=1,C23,STAMMDATEN!N33))</f>
      </c>
      <c r="D24" s="100">
        <f>IF($D$6="","",IF($B24="","",IF(STAMMDATEN!O33="",D23,STAMMDATEN!O33)))</f>
      </c>
      <c r="E24" s="101">
        <f t="shared" si="14"/>
      </c>
      <c r="F24" s="9">
        <f>IF($F$6="","",IF($B24="","",IF(STAMMDATEN!P33="",F23,STAMMDATEN!P33)))</f>
      </c>
      <c r="G24" s="99">
        <f t="shared" si="1"/>
      </c>
      <c r="H24" s="100">
        <f>IF($H$6="","",IF($B24="","",IF(STAMMDATEN!Q33="",H23,STAMMDATEN!Q33)))</f>
      </c>
      <c r="I24" s="101">
        <f t="shared" si="2"/>
      </c>
      <c r="J24" s="9">
        <f>IF($J$6="","",IF($B24="","",IF(STAMMDATEN!R33="",J23,STAMMDATEN!R33)))</f>
      </c>
      <c r="K24" s="99">
        <f t="shared" si="3"/>
      </c>
      <c r="L24" s="100">
        <f>IF($L$6="","",IF($B24="","",IF(STAMMDATEN!S33="",L23,STAMMDATEN!S33)))</f>
      </c>
      <c r="M24" s="101">
        <f t="shared" si="4"/>
      </c>
      <c r="N24" s="99">
        <f t="shared" si="7"/>
      </c>
      <c r="O24" s="101">
        <f t="shared" si="8"/>
      </c>
      <c r="P24" s="101">
        <f t="shared" si="5"/>
        <v>0</v>
      </c>
      <c r="Q24" s="101">
        <f>IF(STAMMDATEN!$F$21="","",SUM(N24:O24)*Q$10)</f>
        <v>0</v>
      </c>
      <c r="R24" s="101">
        <f t="shared" si="9"/>
        <v>0</v>
      </c>
      <c r="S24" s="207">
        <f>IF($B24="","",MAX($R$11:R23))</f>
      </c>
      <c r="T24" s="105">
        <f t="shared" si="12"/>
      </c>
      <c r="U24" s="225">
        <f t="shared" si="6"/>
      </c>
      <c r="V24" s="259">
        <f t="shared" si="10"/>
      </c>
      <c r="W24" s="228">
        <f t="shared" si="11"/>
      </c>
      <c r="X24" s="142">
        <f t="shared" si="13"/>
      </c>
      <c r="CR24" s="4"/>
    </row>
    <row r="25" spans="1:96" ht="12.75">
      <c r="A25" s="18">
        <f t="shared" si="0"/>
      </c>
      <c r="B25" s="103">
        <f>STAMMDATEN!L34</f>
      </c>
      <c r="C25" s="98">
        <f>IF(B25="","",IF(SUM(D24,F24,H24,J24)/$C$9=1,C24,STAMMDATEN!N34))</f>
      </c>
      <c r="D25" s="100">
        <f>IF($D$6="","",IF($B25="","",IF(STAMMDATEN!O34="",D24,STAMMDATEN!O34)))</f>
      </c>
      <c r="E25" s="101">
        <f t="shared" si="14"/>
      </c>
      <c r="F25" s="9">
        <f>IF($F$6="","",IF($B25="","",IF(STAMMDATEN!P34="",F24,STAMMDATEN!P34)))</f>
      </c>
      <c r="G25" s="99">
        <f t="shared" si="1"/>
      </c>
      <c r="H25" s="100">
        <f>IF($H$6="","",IF($B25="","",IF(STAMMDATEN!Q34="",H24,STAMMDATEN!Q34)))</f>
      </c>
      <c r="I25" s="101">
        <f t="shared" si="2"/>
      </c>
      <c r="J25" s="9">
        <f>IF($J$6="","",IF($B25="","",IF(STAMMDATEN!R34="",J24,STAMMDATEN!R34)))</f>
      </c>
      <c r="K25" s="99">
        <f t="shared" si="3"/>
      </c>
      <c r="L25" s="100">
        <f>IF($L$6="","",IF($B25="","",IF(STAMMDATEN!S34="",L24,STAMMDATEN!S34)))</f>
      </c>
      <c r="M25" s="101">
        <f t="shared" si="4"/>
      </c>
      <c r="N25" s="99">
        <f t="shared" si="7"/>
      </c>
      <c r="O25" s="101">
        <f t="shared" si="8"/>
      </c>
      <c r="P25" s="101">
        <f t="shared" si="5"/>
        <v>0</v>
      </c>
      <c r="Q25" s="101">
        <f>IF(STAMMDATEN!$F$21="","",SUM(N25:O25)*Q$10)</f>
        <v>0</v>
      </c>
      <c r="R25" s="101">
        <f t="shared" si="9"/>
        <v>0</v>
      </c>
      <c r="S25" s="207">
        <f>IF($B25="","",MAX($R$11:R24))</f>
      </c>
      <c r="T25" s="105">
        <f t="shared" si="12"/>
      </c>
      <c r="U25" s="225">
        <f t="shared" si="6"/>
      </c>
      <c r="V25" s="259">
        <f t="shared" si="10"/>
      </c>
      <c r="W25" s="228">
        <f t="shared" si="11"/>
      </c>
      <c r="X25" s="142">
        <f t="shared" si="13"/>
      </c>
      <c r="CR25" s="4"/>
    </row>
    <row r="26" spans="1:96" ht="12.75">
      <c r="A26" s="18">
        <f t="shared" si="0"/>
      </c>
      <c r="B26" s="103">
        <f>STAMMDATEN!L35</f>
      </c>
      <c r="C26" s="98">
        <f>IF(B26="","",IF(SUM(D25,F25,H25,J25)/$C$9=1,C25,STAMMDATEN!N35))</f>
      </c>
      <c r="D26" s="100">
        <f>IF($D$6="","",IF($B26="","",IF(STAMMDATEN!O35="",D25,STAMMDATEN!O35)))</f>
      </c>
      <c r="E26" s="101">
        <f t="shared" si="14"/>
      </c>
      <c r="F26" s="9">
        <f>IF($F$6="","",IF($B26="","",IF(STAMMDATEN!P35="",F25,STAMMDATEN!P35)))</f>
      </c>
      <c r="G26" s="99">
        <f t="shared" si="1"/>
      </c>
      <c r="H26" s="100">
        <f>IF($H$6="","",IF($B26="","",IF(STAMMDATEN!Q35="",H25,STAMMDATEN!Q35)))</f>
      </c>
      <c r="I26" s="101">
        <f t="shared" si="2"/>
      </c>
      <c r="J26" s="9">
        <f>IF($J$6="","",IF($B26="","",IF(STAMMDATEN!R35="",J25,STAMMDATEN!R35)))</f>
      </c>
      <c r="K26" s="99">
        <f t="shared" si="3"/>
      </c>
      <c r="L26" s="100">
        <f>IF($L$6="","",IF($B26="","",IF(STAMMDATEN!S35="",L25,STAMMDATEN!S35)))</f>
      </c>
      <c r="M26" s="101">
        <f t="shared" si="4"/>
      </c>
      <c r="N26" s="99">
        <f t="shared" si="7"/>
      </c>
      <c r="O26" s="101">
        <f t="shared" si="8"/>
      </c>
      <c r="P26" s="101">
        <f t="shared" si="5"/>
        <v>0</v>
      </c>
      <c r="Q26" s="101">
        <f>IF(STAMMDATEN!$F$21="","",SUM(N26:O26)*Q$10)</f>
        <v>0</v>
      </c>
      <c r="R26" s="101">
        <f t="shared" si="9"/>
        <v>0</v>
      </c>
      <c r="S26" s="207">
        <f>IF($B26="","",MAX($R$11:R25))</f>
      </c>
      <c r="T26" s="105">
        <f t="shared" si="12"/>
      </c>
      <c r="U26" s="225">
        <f t="shared" si="6"/>
      </c>
      <c r="V26" s="259">
        <f t="shared" si="10"/>
      </c>
      <c r="W26" s="228">
        <f t="shared" si="11"/>
      </c>
      <c r="X26" s="142">
        <f t="shared" si="13"/>
      </c>
      <c r="CR26" s="4"/>
    </row>
    <row r="27" spans="1:96" ht="12.75">
      <c r="A27" s="18">
        <f t="shared" si="0"/>
      </c>
      <c r="B27" s="103">
        <f>STAMMDATEN!L36</f>
      </c>
      <c r="C27" s="98">
        <f>IF(B27="","",IF(SUM(D26,F26,H26,J26)/$C$9=1,C26,STAMMDATEN!N36))</f>
      </c>
      <c r="D27" s="100">
        <f>IF($D$6="","",IF($B27="","",IF(STAMMDATEN!O36="",D26,STAMMDATEN!O36)))</f>
      </c>
      <c r="E27" s="101">
        <f t="shared" si="14"/>
      </c>
      <c r="F27" s="9">
        <f>IF($F$6="","",IF($B27="","",IF(STAMMDATEN!P36="",F26,STAMMDATEN!P36)))</f>
      </c>
      <c r="G27" s="99">
        <f t="shared" si="1"/>
      </c>
      <c r="H27" s="100">
        <f>IF($H$6="","",IF($B27="","",IF(STAMMDATEN!Q36="",H26,STAMMDATEN!Q36)))</f>
      </c>
      <c r="I27" s="101">
        <f t="shared" si="2"/>
      </c>
      <c r="J27" s="9">
        <f>IF($J$6="","",IF($B27="","",IF(STAMMDATEN!R36="",J26,STAMMDATEN!R36)))</f>
      </c>
      <c r="K27" s="99">
        <f t="shared" si="3"/>
      </c>
      <c r="L27" s="100">
        <f>IF($L$6="","",IF($B27="","",IF(STAMMDATEN!S36="",L26,STAMMDATEN!S36)))</f>
      </c>
      <c r="M27" s="101">
        <f t="shared" si="4"/>
      </c>
      <c r="N27" s="99">
        <f t="shared" si="7"/>
      </c>
      <c r="O27" s="101">
        <f t="shared" si="8"/>
      </c>
      <c r="P27" s="101">
        <f t="shared" si="5"/>
        <v>0</v>
      </c>
      <c r="Q27" s="101">
        <f>IF(STAMMDATEN!$F$21="","",SUM(N27:O27)*Q$10)</f>
        <v>0</v>
      </c>
      <c r="R27" s="101">
        <f t="shared" si="9"/>
        <v>0</v>
      </c>
      <c r="S27" s="207">
        <f>IF($B27="","",MAX($R$11:R26))</f>
      </c>
      <c r="T27" s="105">
        <f t="shared" si="12"/>
      </c>
      <c r="U27" s="225">
        <f t="shared" si="6"/>
      </c>
      <c r="V27" s="259">
        <f t="shared" si="10"/>
      </c>
      <c r="W27" s="228">
        <f t="shared" si="11"/>
      </c>
      <c r="X27" s="142">
        <f t="shared" si="13"/>
      </c>
      <c r="CR27" s="4"/>
    </row>
    <row r="28" spans="1:96" ht="12.75">
      <c r="A28" s="18">
        <f t="shared" si="0"/>
      </c>
      <c r="B28" s="103">
        <f>STAMMDATEN!L37</f>
      </c>
      <c r="C28" s="98">
        <f>IF(B28="","",IF(SUM(D27,F27,H27,J27)/$C$9=1,C27,STAMMDATEN!N37))</f>
      </c>
      <c r="D28" s="100">
        <f>IF($D$6="","",IF($B28="","",IF(STAMMDATEN!O37="",D27,STAMMDATEN!O37)))</f>
      </c>
      <c r="E28" s="101">
        <f t="shared" si="14"/>
      </c>
      <c r="F28" s="9">
        <f>IF($F$6="","",IF($B28="","",IF(STAMMDATEN!P37="",F27,STAMMDATEN!P37)))</f>
      </c>
      <c r="G28" s="99">
        <f t="shared" si="1"/>
      </c>
      <c r="H28" s="100">
        <f>IF($H$6="","",IF($B28="","",IF(STAMMDATEN!Q37="",H27,STAMMDATEN!Q37)))</f>
      </c>
      <c r="I28" s="101">
        <f t="shared" si="2"/>
      </c>
      <c r="J28" s="9">
        <f>IF($J$6="","",IF($B28="","",IF(STAMMDATEN!R37="",J27,STAMMDATEN!R37)))</f>
      </c>
      <c r="K28" s="99">
        <f t="shared" si="3"/>
      </c>
      <c r="L28" s="100">
        <f>IF($L$6="","",IF($B28="","",IF(STAMMDATEN!S37="",L27,STAMMDATEN!S37)))</f>
      </c>
      <c r="M28" s="101">
        <f t="shared" si="4"/>
      </c>
      <c r="N28" s="99">
        <f t="shared" si="7"/>
      </c>
      <c r="O28" s="101">
        <f t="shared" si="8"/>
      </c>
      <c r="P28" s="101">
        <f t="shared" si="5"/>
        <v>0</v>
      </c>
      <c r="Q28" s="101">
        <f>IF(STAMMDATEN!$F$21="","",SUM(N28:O28)*Q$10)</f>
        <v>0</v>
      </c>
      <c r="R28" s="101">
        <f t="shared" si="9"/>
        <v>0</v>
      </c>
      <c r="S28" s="207">
        <f>IF($B28="","",MAX($R$11:R27))</f>
      </c>
      <c r="T28" s="105">
        <f t="shared" si="12"/>
      </c>
      <c r="U28" s="225">
        <f t="shared" si="6"/>
      </c>
      <c r="V28" s="259">
        <f t="shared" si="10"/>
      </c>
      <c r="W28" s="228">
        <f t="shared" si="11"/>
      </c>
      <c r="X28" s="142">
        <f t="shared" si="13"/>
      </c>
      <c r="CR28" s="4"/>
    </row>
    <row r="29" spans="1:96" ht="12.75">
      <c r="A29" s="18">
        <f t="shared" si="0"/>
      </c>
      <c r="B29" s="103">
        <f>STAMMDATEN!L38</f>
      </c>
      <c r="C29" s="98">
        <f>IF(B29="","",IF(SUM(D28,F28,H28,J28)/$C$9=1,C28,STAMMDATEN!N38))</f>
      </c>
      <c r="D29" s="100">
        <f>IF($D$6="","",IF($B29="","",IF(STAMMDATEN!O38="",D28,STAMMDATEN!O38)))</f>
      </c>
      <c r="E29" s="101">
        <f t="shared" si="14"/>
      </c>
      <c r="F29" s="9">
        <f>IF($F$6="","",IF($B29="","",IF(STAMMDATEN!P38="",F28,STAMMDATEN!P38)))</f>
      </c>
      <c r="G29" s="99">
        <f t="shared" si="1"/>
      </c>
      <c r="H29" s="100">
        <f>IF($H$6="","",IF($B29="","",IF(STAMMDATEN!Q38="",H28,STAMMDATEN!Q38)))</f>
      </c>
      <c r="I29" s="101">
        <f t="shared" si="2"/>
      </c>
      <c r="J29" s="9">
        <f>IF($J$6="","",IF($B29="","",IF(STAMMDATEN!R38="",J28,STAMMDATEN!R38)))</f>
      </c>
      <c r="K29" s="99">
        <f t="shared" si="3"/>
      </c>
      <c r="L29" s="100">
        <f>IF($L$6="","",IF($B29="","",IF(STAMMDATEN!S38="",L28,STAMMDATEN!S38)))</f>
      </c>
      <c r="M29" s="101">
        <f t="shared" si="4"/>
      </c>
      <c r="N29" s="99">
        <f t="shared" si="7"/>
      </c>
      <c r="O29" s="101">
        <f t="shared" si="8"/>
      </c>
      <c r="P29" s="101">
        <f t="shared" si="5"/>
        <v>0</v>
      </c>
      <c r="Q29" s="101">
        <f>IF(STAMMDATEN!$F$21="","",SUM(N29:O29)*Q$10)</f>
        <v>0</v>
      </c>
      <c r="R29" s="101">
        <f t="shared" si="9"/>
        <v>0</v>
      </c>
      <c r="S29" s="207">
        <f>IF($B29="","",MAX($R$11:R28))</f>
      </c>
      <c r="T29" s="105">
        <f t="shared" si="12"/>
      </c>
      <c r="U29" s="225">
        <f t="shared" si="6"/>
      </c>
      <c r="V29" s="259">
        <f t="shared" si="10"/>
      </c>
      <c r="W29" s="228">
        <f t="shared" si="11"/>
      </c>
      <c r="X29" s="142">
        <f t="shared" si="13"/>
      </c>
      <c r="CR29" s="4"/>
    </row>
    <row r="30" spans="1:96" ht="12.75">
      <c r="A30" s="18">
        <f t="shared" si="0"/>
      </c>
      <c r="B30" s="103">
        <f>STAMMDATEN!L39</f>
      </c>
      <c r="C30" s="98">
        <f>IF(B30="","",IF(SUM(D29,F29,H29,J29)/$C$9=1,C29,STAMMDATEN!N39))</f>
      </c>
      <c r="D30" s="100">
        <f>IF($D$6="","",IF($B30="","",IF(STAMMDATEN!O39="",D29,STAMMDATEN!O39)))</f>
      </c>
      <c r="E30" s="101">
        <f t="shared" si="14"/>
      </c>
      <c r="F30" s="9">
        <f>IF($F$6="","",IF($B30="","",IF(STAMMDATEN!P39="",F29,STAMMDATEN!P39)))</f>
      </c>
      <c r="G30" s="99">
        <f t="shared" si="1"/>
      </c>
      <c r="H30" s="100">
        <f>IF($H$6="","",IF($B30="","",IF(STAMMDATEN!Q39="",H29,STAMMDATEN!Q39)))</f>
      </c>
      <c r="I30" s="101">
        <f t="shared" si="2"/>
      </c>
      <c r="J30" s="9">
        <f>IF($J$6="","",IF($B30="","",IF(STAMMDATEN!R39="",J29,STAMMDATEN!R39)))</f>
      </c>
      <c r="K30" s="99">
        <f t="shared" si="3"/>
      </c>
      <c r="L30" s="100">
        <f>IF($L$6="","",IF($B30="","",IF(STAMMDATEN!S39="",L29,STAMMDATEN!S39)))</f>
      </c>
      <c r="M30" s="101">
        <f t="shared" si="4"/>
      </c>
      <c r="N30" s="99">
        <f t="shared" si="7"/>
      </c>
      <c r="O30" s="101">
        <f t="shared" si="8"/>
      </c>
      <c r="P30" s="101">
        <f t="shared" si="5"/>
        <v>0</v>
      </c>
      <c r="Q30" s="101">
        <f>IF(STAMMDATEN!$F$21="","",SUM(N30:O30)*Q$10)</f>
        <v>0</v>
      </c>
      <c r="R30" s="101">
        <f t="shared" si="9"/>
        <v>0</v>
      </c>
      <c r="S30" s="207">
        <f>IF($B30="","",MAX($R$11:R29))</f>
      </c>
      <c r="T30" s="105">
        <f t="shared" si="12"/>
      </c>
      <c r="U30" s="225">
        <f t="shared" si="6"/>
      </c>
      <c r="V30" s="259">
        <f>IF($A30="","",IF(U29="","",IF($B30=$B29,"",IF(SUM($D29,$F29,$H29,$J29)/C27=1,"",SUM($A30-$A29)*SUM(R29:R29)))))</f>
      </c>
      <c r="W30" s="228">
        <f t="shared" si="11"/>
      </c>
      <c r="X30" s="142">
        <f t="shared" si="13"/>
      </c>
      <c r="CR30" s="4"/>
    </row>
    <row r="31" spans="1:95" s="21" customFormat="1" ht="12.75" customHeight="1">
      <c r="A31" s="250">
        <f>IF(SUM(A11:A30)=0,"",MAX(A11:A30))</f>
        <v>0.15</v>
      </c>
      <c r="B31" s="103">
        <f aca="true" t="shared" si="15" ref="B31:Q31">MAX(B11:B30)</f>
        <v>3</v>
      </c>
      <c r="C31" s="22">
        <f>MAX(C11:C30)</f>
        <v>35881</v>
      </c>
      <c r="D31" s="100">
        <f t="shared" si="15"/>
        <v>0.6</v>
      </c>
      <c r="E31" s="101">
        <f t="shared" si="15"/>
        <v>412.758</v>
      </c>
      <c r="F31" s="19">
        <f t="shared" si="15"/>
        <v>0.6</v>
      </c>
      <c r="G31" s="231">
        <f t="shared" si="15"/>
        <v>2751.72</v>
      </c>
      <c r="H31" s="100">
        <f t="shared" si="15"/>
        <v>0.6</v>
      </c>
      <c r="I31" s="101">
        <f t="shared" si="15"/>
        <v>5503.44</v>
      </c>
      <c r="J31" s="19">
        <f t="shared" si="15"/>
        <v>0.2</v>
      </c>
      <c r="K31" s="99">
        <f t="shared" si="15"/>
        <v>1375.8600000000001</v>
      </c>
      <c r="L31" s="114">
        <f>MAX(L11:L30)</f>
        <v>0.2</v>
      </c>
      <c r="M31" s="101">
        <f>MAX(M11:M30)</f>
        <v>321.03400000000005</v>
      </c>
      <c r="N31" s="365">
        <f t="shared" si="15"/>
        <v>10364.812</v>
      </c>
      <c r="O31" s="135">
        <f t="shared" si="15"/>
        <v>2072.9624</v>
      </c>
      <c r="P31" s="101">
        <f>MAX(P11:P30)</f>
        <v>12437.7744</v>
      </c>
      <c r="Q31" s="136">
        <f t="shared" si="15"/>
        <v>746.266464</v>
      </c>
      <c r="R31" s="123">
        <f>MAX(R11:R30)</f>
        <v>13184.040864</v>
      </c>
      <c r="S31" s="207">
        <f>MAX(S11:S30)</f>
        <v>7350.394464</v>
      </c>
      <c r="T31" s="110">
        <f>IF(V31=0,"","X")</f>
      </c>
      <c r="U31" s="225">
        <f>MAX(U11:U30)</f>
        <v>1977.6061296</v>
      </c>
      <c r="V31" s="259">
        <f>MAX(V11:V30)</f>
        <v>0</v>
      </c>
      <c r="W31" s="229">
        <f>IF(V31=0,"",MAX(W11:W30))</f>
      </c>
      <c r="X31" s="142">
        <f>MAX(X12:X30)</f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</row>
    <row r="32" spans="1:95" s="21" customFormat="1" ht="12.75" customHeight="1">
      <c r="A32" s="109" t="s">
        <v>91</v>
      </c>
      <c r="B32" s="10"/>
      <c r="C32" s="262"/>
      <c r="D32" s="10"/>
      <c r="E32" s="10"/>
      <c r="F32" s="10"/>
      <c r="G32" s="10"/>
      <c r="H32" s="106"/>
      <c r="I32" s="10"/>
      <c r="J32" s="10"/>
      <c r="K32" s="10"/>
      <c r="L32" s="10"/>
      <c r="M32" s="10"/>
      <c r="N32" s="10"/>
      <c r="O32" s="10"/>
      <c r="P32" s="356"/>
      <c r="Q32" s="356"/>
      <c r="R32" s="204"/>
      <c r="S32" s="204"/>
      <c r="T32" s="227"/>
      <c r="U32" s="226">
        <f>IF(N$37=0,"",SUM($D31,$F31,$H31,J31)/N$37)</f>
        <v>0.39999999999999997</v>
      </c>
      <c r="V32" s="256"/>
      <c r="W32" s="228"/>
      <c r="X32" s="48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</row>
    <row r="33" spans="1:95" s="21" customFormat="1" ht="12.75" customHeight="1">
      <c r="A33" s="254">
        <f>IF(SUM(D33,F33,H33,J33)=0,"",IF(SUM(D$31,F$31,H$31,J$31)=SUM($D$33,$F$33,$H$33,$J$33),A$31,IF($C$7&lt;=$C33,$A$6,$A$5)))</f>
      </c>
      <c r="B33" s="103">
        <f>IF(STAMMDATEN!$L$49="","",STAMMDATEN!$L$49)</f>
      </c>
      <c r="C33" s="98">
        <f>IF(B33="","",STAMMDATEN!N49)</f>
      </c>
      <c r="D33" s="100">
        <f>IF(D$8="","",IF($B$33="","",1))</f>
      </c>
      <c r="E33" s="207">
        <f>IF($C33="","",IF(D33="","",IF(D33=D$31,E$31,SUM(E$4*D33))))</f>
      </c>
      <c r="F33" s="9">
        <f>IF($F$8="","",IF($B33="","",1))</f>
      </c>
      <c r="G33" s="255">
        <f>IF($C33="","",IF(F33="","",IF(F33=F$31,G$31,SUM(G$4*F33))))</f>
      </c>
      <c r="H33" s="100">
        <f>IF($H$8="","",IF($B33="","",1))</f>
      </c>
      <c r="I33" s="207">
        <f>IF($C33="","",IF(H33="","",IF(H33=H$31,I$31,SUM(I$4*H33))))</f>
      </c>
      <c r="J33" s="9">
        <f>IF($J$8="","",IF($B33="","",1))</f>
      </c>
      <c r="K33" s="255">
        <f>IF($C33="","",IF(J33="","",IF(J33=J$31,K$31,SUM(K$4*J33))))</f>
      </c>
      <c r="L33" s="100">
        <f>IF($J$8="","",IF($B33="","",1))</f>
      </c>
      <c r="M33" s="207">
        <f>IF($C33="","",IF(L33="","",IF(L33=L$31,M$31,SUM(M$4*L33))))</f>
      </c>
      <c r="N33" s="368">
        <f>IF($C33="","",IF(SUM(D$31,F$31,H$31,J$31,L31)=SUM(D33,F33,H33,J33,L31,M31),N32,SUM(E33,G33,I33,K33,M33)))</f>
      </c>
      <c r="O33" s="135">
        <f>IF($C33="","",SUM(N$33*O10))</f>
      </c>
      <c r="P33" s="69">
        <f>SUM(N33:O33)</f>
        <v>0</v>
      </c>
      <c r="Q33" s="136">
        <f>IF($C33="","",SUM(P33*Q10))</f>
      </c>
      <c r="R33" s="252">
        <f>IF($C33="","",IF($C31="","",SUM(P33:Q33)))</f>
      </c>
      <c r="S33" s="207">
        <f>IF(C33="","",R31)</f>
      </c>
      <c r="T33" s="110" t="str">
        <f>IF(V33="","","X")</f>
        <v>X</v>
      </c>
      <c r="U33" s="225">
        <f>IF($A33="","",($A33*R33))</f>
      </c>
      <c r="V33" s="259">
        <f>IF($C33=0,"",IF($U32=1,"",IF($A33=$A31,"",SUM($A$6-$A$5)*SUM(S33))))</f>
        <v>0</v>
      </c>
      <c r="W33" s="229">
        <f>IF($A33="","",IF($A33=$A31,"",$B33))</f>
      </c>
      <c r="X33" s="142">
        <f>IF(W33=B33,C33,"")</f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</row>
    <row r="34" spans="1:95" s="21" customFormat="1" ht="12.75" customHeight="1" thickBot="1">
      <c r="A34" s="10"/>
      <c r="B34" s="10"/>
      <c r="C34" s="26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5"/>
      <c r="S34" s="5"/>
      <c r="T34" s="227"/>
      <c r="U34" s="226">
        <f>IF($A33="","",IF(U$32=1,"",SUM($D33,$F33,H$33,J33)/N$37))</f>
      </c>
      <c r="V34" s="256"/>
      <c r="W34" s="228"/>
      <c r="X34" s="48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</row>
    <row r="35" spans="1:95" s="21" customFormat="1" ht="12.75" customHeight="1" thickBot="1">
      <c r="A35" s="113" t="s">
        <v>118</v>
      </c>
      <c r="B35" s="10"/>
      <c r="C35" s="13" t="s">
        <v>117</v>
      </c>
      <c r="D35" s="131">
        <f>MAX(D31:D33)</f>
        <v>0.6</v>
      </c>
      <c r="E35" s="14">
        <f>MAX(E31,E33)</f>
        <v>412.758</v>
      </c>
      <c r="F35" s="131">
        <f>MAX(F31:F33)</f>
        <v>0.6</v>
      </c>
      <c r="G35" s="14">
        <f>MAX(G31,G33)</f>
        <v>2751.72</v>
      </c>
      <c r="H35" s="131">
        <f>MAX(H31:H33)</f>
        <v>0.6</v>
      </c>
      <c r="I35" s="14">
        <f>MAX(I31,I33)</f>
        <v>5503.44</v>
      </c>
      <c r="J35" s="131">
        <f>MAX(J31:J33)</f>
        <v>0.2</v>
      </c>
      <c r="K35" s="14">
        <f>MAX(K31,K33)</f>
        <v>1375.8600000000001</v>
      </c>
      <c r="L35" s="131">
        <f>MAX(L31:L33)</f>
        <v>0.2</v>
      </c>
      <c r="M35" s="14">
        <f>MAX(M31,M33)</f>
        <v>321.03400000000005</v>
      </c>
      <c r="N35" s="129">
        <f>MAX(N31,N33)</f>
        <v>10364.812</v>
      </c>
      <c r="O35" s="129">
        <f>MAX(O31,O33)</f>
        <v>2072.9624</v>
      </c>
      <c r="P35" s="356"/>
      <c r="Q35" s="129">
        <f>MAX(Q31,Q33)</f>
        <v>746.266464</v>
      </c>
      <c r="R35" s="378">
        <f>MAX(R32:R34)</f>
        <v>0</v>
      </c>
      <c r="S35" s="379">
        <f>MAX(S31:S34)</f>
        <v>7350.394464</v>
      </c>
      <c r="T35" s="227">
        <f>IF(W35="","","X")</f>
      </c>
      <c r="U35" s="5"/>
      <c r="V35" s="380">
        <f>MAX(V31:V33)</f>
        <v>0</v>
      </c>
      <c r="W35" s="228"/>
      <c r="X35" s="381">
        <f>MAX(X31:X33)</f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</row>
    <row r="36" spans="1:95" s="21" customFormat="1" ht="12.75" customHeight="1">
      <c r="A36" s="10" t="s">
        <v>132</v>
      </c>
      <c r="B36" s="10"/>
      <c r="C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5"/>
      <c r="S36" s="5"/>
      <c r="T36" s="32"/>
      <c r="U36" s="5"/>
      <c r="V36" s="256"/>
      <c r="W36" s="228"/>
      <c r="X36" s="48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</row>
    <row r="37" spans="1:95" s="21" customFormat="1" ht="12.75" customHeight="1">
      <c r="A37" s="366">
        <f>IF(E3=0,"",IF(N37=0,"",IF(SUM(D31,F31,H31,J31,L31)/N37=1,A31,MAX(A31,A33))))</f>
        <v>0.15</v>
      </c>
      <c r="B37" s="51">
        <f>IF(C37=C33,B33,IF(C37=C31,B31,""))</f>
        <v>3</v>
      </c>
      <c r="C37" s="172">
        <f>IF(N37=0,"",IF(SUM(D31,F31,H31,J31)/N37=1,C31,MAX(C31:C34)))</f>
        <v>35881</v>
      </c>
      <c r="D37" s="260">
        <f>D9</f>
        <v>1</v>
      </c>
      <c r="E37" s="10"/>
      <c r="F37" s="260">
        <f>F9</f>
        <v>1</v>
      </c>
      <c r="G37" s="10"/>
      <c r="H37" s="260">
        <f>H9</f>
        <v>1</v>
      </c>
      <c r="I37" s="10"/>
      <c r="J37" s="260">
        <f>J9</f>
        <v>1</v>
      </c>
      <c r="K37" s="10"/>
      <c r="L37" s="260">
        <f>L9</f>
        <v>1</v>
      </c>
      <c r="M37" s="10"/>
      <c r="N37" s="246">
        <f>SUM(D37,F37,H37,J37,L37)</f>
        <v>5</v>
      </c>
      <c r="O37" s="10"/>
      <c r="P37" s="10"/>
      <c r="Q37" s="10"/>
      <c r="R37" s="25"/>
      <c r="S37" s="25"/>
      <c r="T37" s="32"/>
      <c r="U37" s="5"/>
      <c r="V37" s="258">
        <f>MAX(V31:V34)</f>
        <v>0</v>
      </c>
      <c r="W37" s="141">
        <f>IF(T31="X",W31,IF(T33="X",W33,""))</f>
      </c>
      <c r="X37" s="261">
        <f>MAX(X12:X30)</f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</row>
    <row r="38" spans="1:95" s="21" customFormat="1" ht="12.75" customHeight="1">
      <c r="A38" s="10"/>
      <c r="B38" s="10"/>
      <c r="C38" s="10" t="s">
        <v>139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5"/>
      <c r="S38" s="5"/>
      <c r="T38" s="32"/>
      <c r="U38" s="5"/>
      <c r="V38" s="256"/>
      <c r="W38" s="230">
        <f>IF(W37="","",1)</f>
      </c>
      <c r="X38" s="247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</row>
    <row r="39" spans="1:96" s="21" customFormat="1" ht="12.75" customHeight="1">
      <c r="A39" s="10" t="s">
        <v>140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5"/>
      <c r="S39" s="5"/>
      <c r="T39" s="32"/>
      <c r="U39" s="5"/>
      <c r="V39" s="256"/>
      <c r="W39" s="228"/>
      <c r="X39" s="247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</row>
    <row r="40" spans="1:96" s="21" customFormat="1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5"/>
      <c r="S40" s="5"/>
      <c r="T40" s="32"/>
      <c r="U40" s="5"/>
      <c r="V40" s="256"/>
      <c r="W40" s="228"/>
      <c r="X40" s="247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</row>
    <row r="41" spans="1:96" s="21" customFormat="1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5"/>
      <c r="S41" s="5"/>
      <c r="T41" s="32"/>
      <c r="U41" s="5"/>
      <c r="V41" s="256"/>
      <c r="W41" s="228"/>
      <c r="X41" s="247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</row>
    <row r="42" spans="1:96" s="21" customFormat="1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5"/>
      <c r="S42" s="5"/>
      <c r="T42" s="32"/>
      <c r="U42" s="5"/>
      <c r="V42" s="256"/>
      <c r="W42" s="228"/>
      <c r="X42" s="247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</row>
    <row r="43" spans="1:96" s="21" customFormat="1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"/>
      <c r="S43" s="5"/>
      <c r="T43" s="32"/>
      <c r="U43" s="5"/>
      <c r="V43" s="256"/>
      <c r="W43" s="228"/>
      <c r="X43" s="247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</row>
    <row r="44" spans="1:96" s="21" customFormat="1" ht="20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5"/>
      <c r="S44" s="5"/>
      <c r="T44" s="32"/>
      <c r="U44" s="5"/>
      <c r="V44" s="256"/>
      <c r="W44" s="228"/>
      <c r="X44" s="247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</row>
    <row r="45" spans="1:96" s="21" customFormat="1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5"/>
      <c r="S45" s="5"/>
      <c r="T45" s="32"/>
      <c r="U45" s="5"/>
      <c r="V45" s="256"/>
      <c r="W45" s="228"/>
      <c r="X45" s="247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</row>
    <row r="46" spans="1:96" s="21" customFormat="1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5"/>
      <c r="S46" s="5"/>
      <c r="T46" s="32"/>
      <c r="U46" s="5"/>
      <c r="V46" s="256"/>
      <c r="W46" s="228"/>
      <c r="X46" s="247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</row>
    <row r="47" spans="1:17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 password="CBBE" sheet="1" objects="1" scenarios="1"/>
  <mergeCells count="2">
    <mergeCell ref="W4:W10"/>
    <mergeCell ref="T5:T10"/>
  </mergeCells>
  <printOptions horizontalCentered="1" verticalCentered="1"/>
  <pageMargins left="0.3937007874015748" right="0" top="0.3937007874015748" bottom="0" header="0" footer="0"/>
  <pageSetup fitToHeight="1" fitToWidth="1"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H10" sqref="H10"/>
    </sheetView>
  </sheetViews>
  <sheetFormatPr defaultColWidth="11.421875" defaultRowHeight="12.75"/>
  <cols>
    <col min="1" max="16384" width="11.421875" style="75" customWidth="1"/>
  </cols>
  <sheetData>
    <row r="1" ht="18">
      <c r="A1" s="406" t="s">
        <v>223</v>
      </c>
    </row>
    <row r="2" ht="18">
      <c r="A2" s="406" t="s">
        <v>224</v>
      </c>
    </row>
    <row r="3" ht="18">
      <c r="D3" s="407" t="s">
        <v>222</v>
      </c>
    </row>
  </sheetData>
  <sheetProtection password="C611"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75"/>
  <sheetViews>
    <sheetView tabSelected="1" workbookViewId="0" topLeftCell="A1">
      <selection activeCell="C6" sqref="C6"/>
    </sheetView>
  </sheetViews>
  <sheetFormatPr defaultColWidth="11.421875" defaultRowHeight="12.75"/>
  <cols>
    <col min="1" max="1" width="3.7109375" style="4" customWidth="1"/>
    <col min="2" max="2" width="14.421875" style="4" customWidth="1"/>
    <col min="3" max="3" width="4.7109375" style="4" customWidth="1"/>
    <col min="4" max="5" width="12.140625" style="4" customWidth="1"/>
    <col min="6" max="6" width="5.7109375" style="4" customWidth="1"/>
    <col min="7" max="7" width="12.57421875" style="4" customWidth="1"/>
    <col min="8" max="8" width="11.00390625" style="4" customWidth="1"/>
    <col min="9" max="9" width="5.57421875" style="4" customWidth="1"/>
    <col min="10" max="12" width="4.7109375" style="4" customWidth="1"/>
    <col min="13" max="13" width="1.57421875" style="4" customWidth="1"/>
    <col min="14" max="14" width="12.140625" style="4" customWidth="1"/>
    <col min="15" max="19" width="5.28125" style="4" customWidth="1"/>
    <col min="20" max="21" width="11.7109375" style="4" customWidth="1"/>
    <col min="22" max="22" width="12.140625" style="4" customWidth="1"/>
    <col min="23" max="24" width="9.8515625" style="5" customWidth="1"/>
    <col min="25" max="25" width="11.57421875" style="5" bestFit="1" customWidth="1"/>
    <col min="26" max="103" width="11.421875" style="5" customWidth="1"/>
    <col min="104" max="16384" width="11.421875" style="4" customWidth="1"/>
  </cols>
  <sheetData>
    <row r="1" spans="1:22" ht="21.75" customHeight="1">
      <c r="A1" s="411" t="s">
        <v>41</v>
      </c>
      <c r="B1" s="412"/>
      <c r="C1" s="152"/>
      <c r="D1" s="153"/>
      <c r="E1" s="154" t="s">
        <v>23</v>
      </c>
      <c r="F1" s="155" t="str">
        <f>IF(A26="X",B26,IF(A27="X",B27,""))</f>
        <v>Bebauungsplan</v>
      </c>
      <c r="G1" s="153"/>
      <c r="H1" s="153"/>
      <c r="I1" s="156"/>
      <c r="J1" s="411" t="s">
        <v>107</v>
      </c>
      <c r="K1" s="412"/>
      <c r="L1" s="412"/>
      <c r="M1" s="146"/>
      <c r="N1" s="153"/>
      <c r="O1" s="125" t="str">
        <f>IF($A$26="X","Leistungsbild nach HOAI § 37",IF($A$27="X","Leistungsbild nach HOAI § 40",""))</f>
        <v>Leistungsbild nach HOAI § 40</v>
      </c>
      <c r="P1" s="153"/>
      <c r="Q1" s="153"/>
      <c r="R1" s="153"/>
      <c r="S1" s="153"/>
      <c r="T1" s="188"/>
      <c r="U1" s="97"/>
      <c r="V1" s="392" t="s">
        <v>116</v>
      </c>
    </row>
    <row r="2" spans="1:22" ht="12.75" customHeight="1">
      <c r="A2" s="160"/>
      <c r="B2" s="6" t="s">
        <v>74</v>
      </c>
      <c r="C2" s="157"/>
      <c r="D2" s="157"/>
      <c r="E2" s="157"/>
      <c r="F2" s="120"/>
      <c r="G2" s="120"/>
      <c r="H2" s="120"/>
      <c r="I2" s="158"/>
      <c r="J2" s="7" t="str">
        <f>B26</f>
        <v>Flächennutzungsplan</v>
      </c>
      <c r="K2" s="8"/>
      <c r="L2" s="8"/>
      <c r="M2" s="8"/>
      <c r="N2" s="8"/>
      <c r="O2" s="178">
        <f>IF($A26="",'Tafel § 38'!$V$20,IF($H32="",'Tafel § 38'!$V$20,$H32))</f>
        <v>0.01</v>
      </c>
      <c r="P2" s="178">
        <f>IF($A26="",'Tafel § 38'!$V$21,IF($H33="",'Tafel § 38'!$V$21,$H33))</f>
        <v>0.1</v>
      </c>
      <c r="Q2" s="178">
        <f>'Tafel § 38'!$V$22</f>
        <v>0.4</v>
      </c>
      <c r="R2" s="178">
        <f>'Tafel § 38'!$V$23</f>
        <v>0.3</v>
      </c>
      <c r="S2" s="178">
        <f>'Tafel § 38'!$V$24</f>
        <v>0.07</v>
      </c>
      <c r="T2" s="148"/>
      <c r="U2" s="97"/>
      <c r="V2" s="393" t="s">
        <v>89</v>
      </c>
    </row>
    <row r="3" spans="1:22" ht="12.75" customHeight="1">
      <c r="A3" s="160"/>
      <c r="B3" s="26" t="s">
        <v>24</v>
      </c>
      <c r="C3" s="413" t="s">
        <v>47</v>
      </c>
      <c r="D3" s="414"/>
      <c r="E3" s="414"/>
      <c r="F3" s="414"/>
      <c r="G3" s="415"/>
      <c r="H3" s="120"/>
      <c r="I3" s="158"/>
      <c r="J3" s="277" t="str">
        <f>B27</f>
        <v>Bebauungsplan</v>
      </c>
      <c r="K3" s="320"/>
      <c r="L3" s="320"/>
      <c r="M3" s="320"/>
      <c r="N3" s="320"/>
      <c r="O3" s="178">
        <f>IF($A27="",'Tafel § 38'!$V$20,IF($H32="",'Tafel § 38'!$V$20,$H32))</f>
        <v>0.03</v>
      </c>
      <c r="P3" s="178">
        <f>IF($A27="",'Tafel § 38'!$V$21,IF($H33="",'Tafel § 38'!$V$21,$H33))</f>
        <v>0.2</v>
      </c>
      <c r="Q3" s="178">
        <f>'Tafel § 41'!$V$22</f>
        <v>0.4</v>
      </c>
      <c r="R3" s="178">
        <f>'Tafel § 41'!$V$23</f>
        <v>0.3</v>
      </c>
      <c r="S3" s="178">
        <f>'Tafel § 41'!$V$24</f>
        <v>0.07</v>
      </c>
      <c r="T3" s="148"/>
      <c r="U3" s="97"/>
      <c r="V3" s="184" t="s">
        <v>38</v>
      </c>
    </row>
    <row r="4" spans="1:22" ht="12.75" customHeight="1">
      <c r="A4" s="160"/>
      <c r="B4" s="26" t="s">
        <v>34</v>
      </c>
      <c r="C4" s="413" t="s">
        <v>35</v>
      </c>
      <c r="D4" s="414"/>
      <c r="E4" s="414"/>
      <c r="F4" s="414"/>
      <c r="G4" s="415"/>
      <c r="H4" s="120"/>
      <c r="I4" s="120"/>
      <c r="J4" s="161"/>
      <c r="K4" s="323"/>
      <c r="L4" s="323"/>
      <c r="M4" s="323"/>
      <c r="N4" s="323"/>
      <c r="O4" s="326">
        <f>IF(O18="","",1)</f>
        <v>1</v>
      </c>
      <c r="P4" s="326">
        <f>IF(P18="","",1)</f>
        <v>1</v>
      </c>
      <c r="Q4" s="326">
        <f>IF(Q18="","",1)</f>
        <v>1</v>
      </c>
      <c r="R4" s="326">
        <f>IF(R18="","",1)</f>
        <v>1</v>
      </c>
      <c r="S4" s="326">
        <f>IF(S18="","",1)</f>
        <v>1</v>
      </c>
      <c r="T4" s="11" t="s">
        <v>50</v>
      </c>
      <c r="U4" s="124" t="s">
        <v>200</v>
      </c>
      <c r="V4" s="394">
        <f>IF(B42=0,"",SUM(G42*SUM($O$17:$S$17)))</f>
        <v>22931</v>
      </c>
    </row>
    <row r="5" spans="1:22" ht="12.75" customHeight="1">
      <c r="A5" s="160"/>
      <c r="B5" s="26" t="s">
        <v>42</v>
      </c>
      <c r="C5" s="416" t="s">
        <v>30</v>
      </c>
      <c r="D5" s="417"/>
      <c r="E5" s="120"/>
      <c r="F5" s="120"/>
      <c r="G5" s="120"/>
      <c r="H5" s="120"/>
      <c r="I5" s="158"/>
      <c r="J5" s="161"/>
      <c r="K5" s="26"/>
      <c r="L5" s="26"/>
      <c r="M5" s="26"/>
      <c r="N5" s="16" t="s">
        <v>98</v>
      </c>
      <c r="O5" s="11" t="s">
        <v>138</v>
      </c>
      <c r="P5" s="148"/>
      <c r="Q5" s="148"/>
      <c r="R5" s="148"/>
      <c r="S5" s="148"/>
      <c r="T5" s="134" t="s">
        <v>86</v>
      </c>
      <c r="U5" s="97"/>
      <c r="V5" s="28">
        <f>IF($V$4="","",IF($F$27="","",SUM(V4*$F$27)))</f>
        <v>4586.2</v>
      </c>
    </row>
    <row r="6" spans="1:22" ht="12.75" customHeight="1">
      <c r="A6" s="160"/>
      <c r="B6" s="26" t="s">
        <v>43</v>
      </c>
      <c r="C6" s="120"/>
      <c r="D6" s="120"/>
      <c r="E6" s="120"/>
      <c r="F6" s="120"/>
      <c r="G6" s="120"/>
      <c r="H6" s="120"/>
      <c r="I6" s="158"/>
      <c r="J6" s="161"/>
      <c r="K6" s="26" t="s">
        <v>99</v>
      </c>
      <c r="L6" s="16" t="str">
        <f>IF($A$21="X",$C$21,IF($A$22="X",$C$22,""))</f>
        <v>€</v>
      </c>
      <c r="M6" s="16"/>
      <c r="N6" s="214"/>
      <c r="O6" s="12">
        <v>1</v>
      </c>
      <c r="P6" s="12">
        <v>2</v>
      </c>
      <c r="Q6" s="12">
        <v>3</v>
      </c>
      <c r="R6" s="12">
        <v>4</v>
      </c>
      <c r="S6" s="12">
        <v>5</v>
      </c>
      <c r="T6" s="120"/>
      <c r="U6" s="124" t="s">
        <v>212</v>
      </c>
      <c r="V6" s="28">
        <f>SUM(V4:V5)</f>
        <v>27517.2</v>
      </c>
    </row>
    <row r="7" spans="1:22" ht="12.75" customHeight="1">
      <c r="A7" s="160"/>
      <c r="B7" s="26" t="s">
        <v>26</v>
      </c>
      <c r="C7" s="413" t="s">
        <v>25</v>
      </c>
      <c r="D7" s="414"/>
      <c r="E7" s="414"/>
      <c r="F7" s="414"/>
      <c r="G7" s="415"/>
      <c r="H7" s="120"/>
      <c r="I7" s="158"/>
      <c r="J7" s="161"/>
      <c r="K7" s="26" t="s">
        <v>100</v>
      </c>
      <c r="L7" s="26"/>
      <c r="M7" s="26"/>
      <c r="N7" s="120"/>
      <c r="O7" s="425" t="str">
        <f>IF(A26="X",'Tafel § 41'!$M$20,'Tafel § 38'!$M$20)</f>
        <v>Ermitteln von Aufgabenstellung u. -Umfang</v>
      </c>
      <c r="P7" s="425" t="str">
        <f>IF(B26="X",'Tafel § 41'!$M$21,'Tafel § 38'!$M$21)</f>
        <v>Ermitteln von Planungsvorgaben</v>
      </c>
      <c r="Q7" s="425" t="str">
        <f>IF(C26="X",'Tafel § 41'!$M$22,'Tafel § 38'!$M$22)</f>
        <v>Vorentwurf</v>
      </c>
      <c r="R7" s="425" t="str">
        <f>IF(D26="X",'Tafel § 41'!$M$23,'Tafel § 38'!$M$23)</f>
        <v>Entwurf</v>
      </c>
      <c r="S7" s="425" t="str">
        <f>IF(E26="X",'Tafel § 41'!$M$24,'Tafel § 38'!$M$24)</f>
        <v>Planfassung </v>
      </c>
      <c r="T7" s="97"/>
      <c r="U7" s="189" t="s">
        <v>38</v>
      </c>
      <c r="V7" s="28">
        <f>IF($V$4="","",IF($F$27="","",SUM(V4:V5)*$F$21))</f>
        <v>1651.032</v>
      </c>
    </row>
    <row r="8" spans="1:22" ht="12.75" customHeight="1" thickBot="1">
      <c r="A8" s="160"/>
      <c r="B8" s="26" t="s">
        <v>33</v>
      </c>
      <c r="C8" s="413" t="s">
        <v>27</v>
      </c>
      <c r="D8" s="414"/>
      <c r="E8" s="414"/>
      <c r="F8" s="414"/>
      <c r="G8" s="415"/>
      <c r="H8" s="120"/>
      <c r="I8" s="158"/>
      <c r="J8" s="161"/>
      <c r="K8" s="26" t="s">
        <v>101</v>
      </c>
      <c r="L8" s="26"/>
      <c r="M8" s="26"/>
      <c r="N8" s="26"/>
      <c r="O8" s="425"/>
      <c r="P8" s="425"/>
      <c r="Q8" s="425"/>
      <c r="R8" s="425"/>
      <c r="S8" s="425"/>
      <c r="T8" s="97"/>
      <c r="U8" s="201" t="s">
        <v>39</v>
      </c>
      <c r="V8" s="183">
        <f>SUM(V6:V7)</f>
        <v>29168.232</v>
      </c>
    </row>
    <row r="9" spans="1:22" ht="13.5" thickTop="1">
      <c r="A9" s="160"/>
      <c r="B9" s="26" t="s">
        <v>80</v>
      </c>
      <c r="C9" s="413" t="s">
        <v>28</v>
      </c>
      <c r="D9" s="414"/>
      <c r="E9" s="414"/>
      <c r="F9" s="414"/>
      <c r="G9" s="415"/>
      <c r="H9" s="120"/>
      <c r="I9" s="158"/>
      <c r="J9" s="161"/>
      <c r="K9" s="26" t="s">
        <v>102</v>
      </c>
      <c r="L9" s="26"/>
      <c r="M9" s="26"/>
      <c r="N9" s="26"/>
      <c r="O9" s="425"/>
      <c r="P9" s="425"/>
      <c r="Q9" s="425"/>
      <c r="R9" s="425"/>
      <c r="S9" s="425"/>
      <c r="T9" s="181"/>
      <c r="U9" s="182"/>
      <c r="V9" s="179"/>
    </row>
    <row r="10" spans="1:22" ht="12.75">
      <c r="A10" s="160"/>
      <c r="B10" s="26" t="s">
        <v>32</v>
      </c>
      <c r="C10" s="413" t="s">
        <v>29</v>
      </c>
      <c r="D10" s="414"/>
      <c r="E10" s="414"/>
      <c r="F10" s="414"/>
      <c r="G10" s="415"/>
      <c r="H10" s="120"/>
      <c r="I10" s="158"/>
      <c r="J10" s="120"/>
      <c r="K10" s="97"/>
      <c r="L10" s="97"/>
      <c r="M10" s="97"/>
      <c r="N10" s="97"/>
      <c r="O10" s="425"/>
      <c r="P10" s="425"/>
      <c r="Q10" s="425"/>
      <c r="R10" s="425"/>
      <c r="S10" s="425"/>
      <c r="T10" s="181"/>
      <c r="U10" s="182"/>
      <c r="V10" s="179"/>
    </row>
    <row r="11" spans="1:22" ht="12.75">
      <c r="A11" s="160"/>
      <c r="B11" s="26" t="s">
        <v>105</v>
      </c>
      <c r="C11" s="26"/>
      <c r="D11" s="26"/>
      <c r="E11" s="26"/>
      <c r="F11" s="215" t="s">
        <v>106</v>
      </c>
      <c r="G11" s="120"/>
      <c r="H11" s="120"/>
      <c r="I11" s="158"/>
      <c r="J11" s="422" t="s">
        <v>121</v>
      </c>
      <c r="K11" s="423"/>
      <c r="L11" s="423"/>
      <c r="M11" s="423"/>
      <c r="N11" s="424"/>
      <c r="O11" s="425"/>
      <c r="P11" s="425"/>
      <c r="Q11" s="425"/>
      <c r="R11" s="425"/>
      <c r="S11" s="425"/>
      <c r="T11" s="181"/>
      <c r="U11" s="182"/>
      <c r="V11" s="179"/>
    </row>
    <row r="12" spans="1:22" ht="12.75">
      <c r="A12" s="160"/>
      <c r="B12" s="120"/>
      <c r="C12" s="120"/>
      <c r="D12" s="120"/>
      <c r="E12" s="120"/>
      <c r="F12" s="120"/>
      <c r="G12" s="120"/>
      <c r="H12" s="120"/>
      <c r="I12" s="158"/>
      <c r="J12" s="161" t="s">
        <v>218</v>
      </c>
      <c r="K12" s="97"/>
      <c r="L12" s="97"/>
      <c r="M12" s="97"/>
      <c r="N12" s="97"/>
      <c r="O12" s="425"/>
      <c r="P12" s="425"/>
      <c r="Q12" s="425"/>
      <c r="R12" s="425"/>
      <c r="S12" s="425"/>
      <c r="T12" s="181"/>
      <c r="U12" s="182"/>
      <c r="V12" s="179"/>
    </row>
    <row r="13" spans="1:22" ht="12.75" customHeight="1">
      <c r="A13" s="161" t="s">
        <v>7</v>
      </c>
      <c r="B13" s="26"/>
      <c r="C13" s="26"/>
      <c r="D13" s="26" t="s">
        <v>59</v>
      </c>
      <c r="E13" s="331">
        <v>36718</v>
      </c>
      <c r="F13" s="120"/>
      <c r="G13" s="120"/>
      <c r="H13" s="120"/>
      <c r="I13" s="158"/>
      <c r="J13" s="161" t="s">
        <v>220</v>
      </c>
      <c r="K13" s="26"/>
      <c r="L13" s="26"/>
      <c r="M13" s="26"/>
      <c r="N13" s="26"/>
      <c r="O13" s="425"/>
      <c r="P13" s="425"/>
      <c r="Q13" s="425"/>
      <c r="R13" s="425"/>
      <c r="S13" s="425"/>
      <c r="T13" s="181"/>
      <c r="U13" s="182"/>
      <c r="V13" s="179"/>
    </row>
    <row r="14" spans="1:24" ht="12.75" customHeight="1">
      <c r="A14" s="159" t="s">
        <v>76</v>
      </c>
      <c r="B14" s="120" t="s">
        <v>53</v>
      </c>
      <c r="C14" s="16" t="s">
        <v>76</v>
      </c>
      <c r="D14" s="120" t="s">
        <v>75</v>
      </c>
      <c r="E14" s="120"/>
      <c r="F14" s="26" t="s">
        <v>85</v>
      </c>
      <c r="G14" s="120"/>
      <c r="H14" s="120"/>
      <c r="I14" s="158"/>
      <c r="J14" s="162"/>
      <c r="K14" s="26"/>
      <c r="L14" s="26"/>
      <c r="M14" s="26"/>
      <c r="N14" s="26"/>
      <c r="O14" s="425"/>
      <c r="P14" s="425"/>
      <c r="Q14" s="425"/>
      <c r="R14" s="425"/>
      <c r="S14" s="425"/>
      <c r="T14" s="181"/>
      <c r="U14" s="182"/>
      <c r="V14" s="179"/>
      <c r="X14" s="25"/>
    </row>
    <row r="15" spans="1:22" ht="12.75" customHeight="1">
      <c r="A15" s="211">
        <f>IF(A19="X","",IF(A18="X","",IF(A17="X","",IF(A16="X","","X"))))</f>
      </c>
      <c r="B15" s="26" t="str">
        <f>IF($A$26="X","    I §§ 36a HOAI","    I §§ 39a HOAI")</f>
        <v>    I §§ 39a HOAI</v>
      </c>
      <c r="C15" s="211">
        <f>IF(C19="X","",IF(C18="X","",IF(C17="X","",IF(C16="X","","X"))))</f>
      </c>
      <c r="D15" s="164" t="s">
        <v>9</v>
      </c>
      <c r="E15" s="120"/>
      <c r="F15" s="216"/>
      <c r="G15" s="26" t="s">
        <v>73</v>
      </c>
      <c r="H15" s="120"/>
      <c r="I15" s="158"/>
      <c r="J15" s="163"/>
      <c r="K15" s="26"/>
      <c r="L15" s="26"/>
      <c r="M15" s="26"/>
      <c r="N15" s="26"/>
      <c r="O15" s="425"/>
      <c r="P15" s="425"/>
      <c r="Q15" s="425"/>
      <c r="R15" s="425"/>
      <c r="S15" s="425"/>
      <c r="T15" s="181"/>
      <c r="U15" s="182"/>
      <c r="V15" s="179"/>
    </row>
    <row r="16" spans="1:22" ht="12.75">
      <c r="A16" s="218"/>
      <c r="B16" s="26" t="str">
        <f>IF(A26="X","   II §§ 36a HOAI","   II §§ 39a HOAI")</f>
        <v>   II §§ 39a HOAI</v>
      </c>
      <c r="C16" s="215"/>
      <c r="D16" s="164" t="s">
        <v>11</v>
      </c>
      <c r="E16" s="27"/>
      <c r="F16" s="26" t="s">
        <v>129</v>
      </c>
      <c r="G16" s="27"/>
      <c r="H16" s="26"/>
      <c r="I16" s="145"/>
      <c r="J16" s="161"/>
      <c r="K16" s="26"/>
      <c r="L16" s="26"/>
      <c r="M16" s="26"/>
      <c r="N16" s="221" t="s">
        <v>134</v>
      </c>
      <c r="O16" s="104">
        <f>IF(O18="","",IF($A$27="X",O3,IF($A$26="X",O2,"")))</f>
        <v>0.03</v>
      </c>
      <c r="P16" s="104">
        <f>IF(P18="","",IF($A$27="X",P3,IF($A$26="X",P2,"")))</f>
        <v>0.2</v>
      </c>
      <c r="Q16" s="104">
        <f>IF(Q18="","",IF($A$27="X",Q3,IF($A$26="X",Q2,"")))</f>
        <v>0.4</v>
      </c>
      <c r="R16" s="104">
        <f>IF(R18="","",IF($A$27="X",R3,IF($A$26="X",R2,"")))</f>
        <v>0.3</v>
      </c>
      <c r="S16" s="104">
        <f>IF(S18="","",IF($A$27="X",S3,IF($A$26="X",S2,"")))</f>
        <v>0.07</v>
      </c>
      <c r="T16" s="181"/>
      <c r="U16" s="182"/>
      <c r="V16" s="179"/>
    </row>
    <row r="17" spans="1:22" ht="12.75">
      <c r="A17" s="218" t="s">
        <v>219</v>
      </c>
      <c r="B17" s="26" t="str">
        <f>IF(A26="X","  III §§ 36a HOAI","  III §§ 39a HOAI")</f>
        <v>  III §§ 39a HOAI</v>
      </c>
      <c r="C17" s="215" t="s">
        <v>219</v>
      </c>
      <c r="D17" s="164" t="s">
        <v>13</v>
      </c>
      <c r="E17" s="27"/>
      <c r="F17" s="26" t="s">
        <v>130</v>
      </c>
      <c r="G17" s="27"/>
      <c r="H17" s="120"/>
      <c r="I17" s="158"/>
      <c r="J17" s="26"/>
      <c r="K17" s="26"/>
      <c r="L17" s="26"/>
      <c r="M17" s="26"/>
      <c r="N17" s="221" t="s">
        <v>133</v>
      </c>
      <c r="O17" s="235">
        <f>IF(O18="","",SUM(O16*O18))</f>
        <v>0.03</v>
      </c>
      <c r="P17" s="235">
        <f>IF(P18="","",SUM(P16*P18))</f>
        <v>0.2</v>
      </c>
      <c r="Q17" s="235">
        <f>IF(Q18="","",SUM(Q16*Q18))</f>
        <v>0.4</v>
      </c>
      <c r="R17" s="235">
        <f>IF(R18="","",SUM(R16*R18))</f>
        <v>0.3</v>
      </c>
      <c r="S17" s="235">
        <f>IF(S18="","",SUM(S16*S18))</f>
        <v>0.07</v>
      </c>
      <c r="T17" s="181"/>
      <c r="U17" s="182"/>
      <c r="V17" s="179"/>
    </row>
    <row r="18" spans="1:22" ht="12.75">
      <c r="A18" s="218"/>
      <c r="B18" s="26" t="str">
        <f>IF(A26="X"," IV §§ 36a HOAI"," IV §§ 39a HOAI")</f>
        <v> IV §§ 39a HOAI</v>
      </c>
      <c r="C18" s="215"/>
      <c r="D18" s="164" t="s">
        <v>15</v>
      </c>
      <c r="E18" s="120"/>
      <c r="F18" s="120"/>
      <c r="G18" s="120"/>
      <c r="H18" s="120"/>
      <c r="I18" s="158"/>
      <c r="J18" s="120"/>
      <c r="K18" s="120"/>
      <c r="L18" s="16" t="s">
        <v>36</v>
      </c>
      <c r="M18" s="16"/>
      <c r="N18" s="16" t="s">
        <v>119</v>
      </c>
      <c r="O18" s="213">
        <v>1</v>
      </c>
      <c r="P18" s="213">
        <v>1</v>
      </c>
      <c r="Q18" s="213">
        <v>1</v>
      </c>
      <c r="R18" s="213">
        <v>1</v>
      </c>
      <c r="S18" s="213">
        <v>1</v>
      </c>
      <c r="T18" s="124" t="s">
        <v>68</v>
      </c>
      <c r="U18" s="124" t="s">
        <v>79</v>
      </c>
      <c r="V18" s="184"/>
    </row>
    <row r="19" spans="1:22" ht="12.75">
      <c r="A19" s="218"/>
      <c r="B19" s="26" t="str">
        <f>IF(A26="X"," V  §§ 36a HOAI"," V §§  39a HOAI")</f>
        <v> V §§  39a HOAI</v>
      </c>
      <c r="C19" s="215"/>
      <c r="D19" s="26" t="s">
        <v>17</v>
      </c>
      <c r="E19" s="27" t="s">
        <v>21</v>
      </c>
      <c r="F19" s="216">
        <v>0.15</v>
      </c>
      <c r="G19" s="120"/>
      <c r="H19" s="120"/>
      <c r="I19" s="158"/>
      <c r="J19" s="420" t="s">
        <v>21</v>
      </c>
      <c r="K19" s="421"/>
      <c r="L19" s="16" t="s">
        <v>51</v>
      </c>
      <c r="M19" s="16"/>
      <c r="N19" s="16" t="s">
        <v>37</v>
      </c>
      <c r="O19" s="185" t="s">
        <v>199</v>
      </c>
      <c r="P19" s="186"/>
      <c r="Q19" s="186"/>
      <c r="R19" s="187"/>
      <c r="S19" s="186"/>
      <c r="T19" s="16" t="s">
        <v>84</v>
      </c>
      <c r="U19" s="16" t="s">
        <v>38</v>
      </c>
      <c r="V19" s="145" t="s">
        <v>39</v>
      </c>
    </row>
    <row r="20" spans="1:22" ht="12.75" customHeight="1">
      <c r="A20" s="160"/>
      <c r="B20" s="120"/>
      <c r="C20" s="26" t="s">
        <v>145</v>
      </c>
      <c r="D20" s="26"/>
      <c r="E20" s="27" t="s">
        <v>45</v>
      </c>
      <c r="F20" s="216">
        <v>0.16</v>
      </c>
      <c r="G20" s="16" t="s">
        <v>93</v>
      </c>
      <c r="H20" s="217">
        <v>35886</v>
      </c>
      <c r="I20" s="158"/>
      <c r="J20" s="190">
        <f>IF(N20="","",IF(K20="",$F$19,""))</f>
        <v>0.15</v>
      </c>
      <c r="K20" s="191">
        <f>IF(N20="","",IF($H$20="","",IF($H$20&lt;=N20,$F$20,"")))</f>
      </c>
      <c r="L20" s="103">
        <f>IF(N20="","",1)</f>
        <v>1</v>
      </c>
      <c r="M20" s="364" t="b">
        <f>IF(L20="","",IF(K20=$F$20,""))</f>
        <v>0</v>
      </c>
      <c r="N20" s="212">
        <v>35879</v>
      </c>
      <c r="O20" s="213">
        <v>0.2</v>
      </c>
      <c r="P20" s="213">
        <v>0.2</v>
      </c>
      <c r="Q20" s="213">
        <v>0.2</v>
      </c>
      <c r="R20" s="213"/>
      <c r="S20" s="213"/>
      <c r="T20" s="164">
        <f>'LPH 1-5'!P11</f>
        <v>3467.1672</v>
      </c>
      <c r="U20" s="164">
        <f aca="true" t="shared" si="0" ref="U20:U39">IF($F$21="","",SUM(T20*$F$21))</f>
        <v>208.03003199999998</v>
      </c>
      <c r="V20" s="28">
        <f aca="true" t="shared" si="1" ref="V20:V39">SUM(T20:U20)</f>
        <v>3675.197232</v>
      </c>
    </row>
    <row r="21" spans="1:22" ht="12.75">
      <c r="A21" s="211" t="str">
        <f>IF(A22="X","","X")</f>
        <v>X</v>
      </c>
      <c r="B21" s="165" t="s">
        <v>18</v>
      </c>
      <c r="C21" s="16" t="s">
        <v>94</v>
      </c>
      <c r="D21" s="120"/>
      <c r="E21" s="27" t="s">
        <v>90</v>
      </c>
      <c r="F21" s="216">
        <v>0.06</v>
      </c>
      <c r="G21" s="26" t="s">
        <v>108</v>
      </c>
      <c r="H21" s="120"/>
      <c r="I21" s="158"/>
      <c r="J21" s="190">
        <f aca="true" t="shared" si="2" ref="J21:J39">IF(N21="","",IF(K21="",$F$19,""))</f>
        <v>0.15</v>
      </c>
      <c r="K21" s="191">
        <f aca="true" t="shared" si="3" ref="K21:K39">IF(N21="","",IF($H$20="","",IF($H$20&lt;=N21,$F$20,"")))</f>
      </c>
      <c r="L21" s="103">
        <f>IF(N21="","",L20+1)</f>
        <v>2</v>
      </c>
      <c r="M21" s="364">
        <f aca="true" t="shared" si="4" ref="M21:M39">IF(L21="","",IF(K21=K20,"",IF(K21=$F$20,N21)))</f>
      </c>
      <c r="N21" s="212">
        <v>35880</v>
      </c>
      <c r="O21" s="213">
        <v>0.4</v>
      </c>
      <c r="P21" s="213">
        <v>0.4</v>
      </c>
      <c r="Q21" s="213">
        <v>0.4</v>
      </c>
      <c r="R21" s="213"/>
      <c r="S21" s="213"/>
      <c r="T21" s="164">
        <f>'LPH 1-5'!P12</f>
        <v>6934.3344</v>
      </c>
      <c r="U21" s="164">
        <f t="shared" si="0"/>
        <v>416.06006399999995</v>
      </c>
      <c r="V21" s="28">
        <f t="shared" si="1"/>
        <v>7350.394464</v>
      </c>
    </row>
    <row r="22" spans="1:22" ht="12.75">
      <c r="A22" s="218"/>
      <c r="B22" s="165" t="s">
        <v>149</v>
      </c>
      <c r="C22" s="16" t="s">
        <v>146</v>
      </c>
      <c r="D22" s="165"/>
      <c r="E22" s="120"/>
      <c r="F22" s="120"/>
      <c r="G22" s="165" t="s">
        <v>109</v>
      </c>
      <c r="H22" s="120"/>
      <c r="I22" s="158"/>
      <c r="J22" s="190">
        <f t="shared" si="2"/>
        <v>0.15</v>
      </c>
      <c r="K22" s="191">
        <f t="shared" si="3"/>
      </c>
      <c r="L22" s="103">
        <f aca="true" t="shared" si="5" ref="L22:L39">IF(N22="","",L21+1)</f>
        <v>3</v>
      </c>
      <c r="M22" s="364">
        <f t="shared" si="4"/>
      </c>
      <c r="N22" s="212">
        <v>35881</v>
      </c>
      <c r="O22" s="213">
        <v>0.6</v>
      </c>
      <c r="P22" s="213">
        <v>0.6</v>
      </c>
      <c r="Q22" s="213">
        <v>0.6</v>
      </c>
      <c r="R22" s="213">
        <v>0.2</v>
      </c>
      <c r="S22" s="213">
        <v>0.2</v>
      </c>
      <c r="T22" s="164">
        <f>'LPH 1-5'!P13</f>
        <v>12437.7744</v>
      </c>
      <c r="U22" s="164">
        <f t="shared" si="0"/>
        <v>746.266464</v>
      </c>
      <c r="V22" s="28">
        <f t="shared" si="1"/>
        <v>13184.040864</v>
      </c>
    </row>
    <row r="23" spans="1:22" ht="12.75">
      <c r="A23" s="166"/>
      <c r="B23" s="400">
        <v>1.95583</v>
      </c>
      <c r="C23" s="253" t="s">
        <v>174</v>
      </c>
      <c r="D23" s="16"/>
      <c r="E23" s="120"/>
      <c r="F23" s="120"/>
      <c r="G23" s="26" t="s">
        <v>110</v>
      </c>
      <c r="H23" s="120"/>
      <c r="I23" s="158"/>
      <c r="J23" s="190">
        <f t="shared" si="2"/>
      </c>
      <c r="K23" s="191">
        <f t="shared" si="3"/>
      </c>
      <c r="L23" s="103">
        <f t="shared" si="5"/>
      </c>
      <c r="M23" s="364">
        <f t="shared" si="4"/>
      </c>
      <c r="N23" s="212"/>
      <c r="O23" s="213"/>
      <c r="P23" s="213"/>
      <c r="Q23" s="213"/>
      <c r="R23" s="213"/>
      <c r="S23" s="213"/>
      <c r="T23" s="164">
        <f>'LPH 1-5'!P14</f>
        <v>0</v>
      </c>
      <c r="U23" s="164">
        <f t="shared" si="0"/>
        <v>0</v>
      </c>
      <c r="V23" s="28">
        <f t="shared" si="1"/>
        <v>0</v>
      </c>
    </row>
    <row r="24" spans="1:22" ht="12.75">
      <c r="A24" s="160"/>
      <c r="B24" s="26"/>
      <c r="C24" s="26"/>
      <c r="D24" s="120"/>
      <c r="E24" s="26"/>
      <c r="F24" s="120"/>
      <c r="G24" s="26" t="s">
        <v>96</v>
      </c>
      <c r="H24" s="120"/>
      <c r="I24" s="158"/>
      <c r="J24" s="190">
        <f t="shared" si="2"/>
      </c>
      <c r="K24" s="191">
        <f t="shared" si="3"/>
      </c>
      <c r="L24" s="103">
        <f t="shared" si="5"/>
      </c>
      <c r="M24" s="364">
        <f t="shared" si="4"/>
      </c>
      <c r="N24" s="212"/>
      <c r="O24" s="213"/>
      <c r="P24" s="213"/>
      <c r="Q24" s="213"/>
      <c r="R24" s="213"/>
      <c r="S24" s="213"/>
      <c r="T24" s="164">
        <f>'LPH 1-5'!P15</f>
        <v>0</v>
      </c>
      <c r="U24" s="164">
        <f t="shared" si="0"/>
        <v>0</v>
      </c>
      <c r="V24" s="28">
        <f t="shared" si="1"/>
        <v>0</v>
      </c>
    </row>
    <row r="25" spans="1:22" ht="12.75">
      <c r="A25" s="167" t="s">
        <v>92</v>
      </c>
      <c r="B25" s="26"/>
      <c r="C25" s="120"/>
      <c r="D25" s="120"/>
      <c r="E25" s="26"/>
      <c r="F25" s="120"/>
      <c r="G25" s="120"/>
      <c r="H25" s="120"/>
      <c r="I25" s="158"/>
      <c r="J25" s="190">
        <f t="shared" si="2"/>
      </c>
      <c r="K25" s="191">
        <f t="shared" si="3"/>
      </c>
      <c r="L25" s="103">
        <f t="shared" si="5"/>
      </c>
      <c r="M25" s="364">
        <f t="shared" si="4"/>
      </c>
      <c r="N25" s="212"/>
      <c r="O25" s="213"/>
      <c r="P25" s="213"/>
      <c r="Q25" s="213"/>
      <c r="R25" s="213"/>
      <c r="S25" s="213"/>
      <c r="T25" s="164">
        <f>'LPH 1-5'!P16</f>
        <v>0</v>
      </c>
      <c r="U25" s="164">
        <f t="shared" si="0"/>
        <v>0</v>
      </c>
      <c r="V25" s="28">
        <f t="shared" si="1"/>
        <v>0</v>
      </c>
    </row>
    <row r="26" spans="1:22" ht="12.75">
      <c r="A26" s="405"/>
      <c r="B26" s="329" t="s">
        <v>166</v>
      </c>
      <c r="C26" s="8"/>
      <c r="D26" s="330" t="s">
        <v>165</v>
      </c>
      <c r="E26" s="26"/>
      <c r="F26" s="134" t="s">
        <v>77</v>
      </c>
      <c r="G26" s="133" t="s">
        <v>176</v>
      </c>
      <c r="H26" s="133"/>
      <c r="I26" s="333"/>
      <c r="J26" s="190">
        <f t="shared" si="2"/>
      </c>
      <c r="K26" s="191">
        <f t="shared" si="3"/>
      </c>
      <c r="L26" s="103">
        <f t="shared" si="5"/>
      </c>
      <c r="M26" s="364">
        <f t="shared" si="4"/>
      </c>
      <c r="N26" s="212"/>
      <c r="O26" s="213"/>
      <c r="P26" s="213"/>
      <c r="Q26" s="213"/>
      <c r="R26" s="213"/>
      <c r="S26" s="213"/>
      <c r="T26" s="164">
        <f>'LPH 1-5'!P17</f>
        <v>0</v>
      </c>
      <c r="U26" s="164">
        <f t="shared" si="0"/>
        <v>0</v>
      </c>
      <c r="V26" s="28">
        <f t="shared" si="1"/>
        <v>0</v>
      </c>
    </row>
    <row r="27" spans="1:22" ht="12.75">
      <c r="A27" s="321" t="str">
        <f>IF(A26="X","","X")</f>
        <v>X</v>
      </c>
      <c r="B27" s="277" t="s">
        <v>157</v>
      </c>
      <c r="C27" s="278"/>
      <c r="D27" s="276" t="s">
        <v>175</v>
      </c>
      <c r="E27" s="26"/>
      <c r="F27" s="216">
        <v>0.2</v>
      </c>
      <c r="G27" s="418" t="s">
        <v>205</v>
      </c>
      <c r="H27" s="419"/>
      <c r="I27" s="419"/>
      <c r="J27" s="190">
        <f t="shared" si="2"/>
      </c>
      <c r="K27" s="191">
        <f t="shared" si="3"/>
      </c>
      <c r="L27" s="103">
        <f t="shared" si="5"/>
      </c>
      <c r="M27" s="364">
        <f t="shared" si="4"/>
      </c>
      <c r="N27" s="212"/>
      <c r="O27" s="213"/>
      <c r="P27" s="213"/>
      <c r="Q27" s="213"/>
      <c r="R27" s="213"/>
      <c r="S27" s="213"/>
      <c r="T27" s="164">
        <f>'LPH 1-5'!P18</f>
        <v>0</v>
      </c>
      <c r="U27" s="164">
        <f t="shared" si="0"/>
        <v>0</v>
      </c>
      <c r="V27" s="28">
        <f t="shared" si="1"/>
        <v>0</v>
      </c>
    </row>
    <row r="28" spans="1:22" ht="12.75">
      <c r="A28" s="159"/>
      <c r="B28" s="16"/>
      <c r="C28" s="16"/>
      <c r="D28" s="16"/>
      <c r="E28" s="16"/>
      <c r="F28" s="16"/>
      <c r="G28" s="26" t="s">
        <v>179</v>
      </c>
      <c r="H28" s="16"/>
      <c r="I28" s="16"/>
      <c r="J28" s="190">
        <f t="shared" si="2"/>
      </c>
      <c r="K28" s="191">
        <f t="shared" si="3"/>
      </c>
      <c r="L28" s="103">
        <f>IF(N28="","",L27+1)</f>
      </c>
      <c r="M28" s="364">
        <f t="shared" si="4"/>
      </c>
      <c r="N28" s="212"/>
      <c r="O28" s="213"/>
      <c r="P28" s="213"/>
      <c r="Q28" s="213"/>
      <c r="R28" s="213"/>
      <c r="S28" s="213"/>
      <c r="T28" s="164">
        <f>'LPH 1-5'!P19</f>
        <v>0</v>
      </c>
      <c r="U28" s="164">
        <f t="shared" si="0"/>
        <v>0</v>
      </c>
      <c r="V28" s="28">
        <f t="shared" si="1"/>
        <v>0</v>
      </c>
    </row>
    <row r="29" spans="1:22" ht="12" customHeight="1">
      <c r="A29" s="161" t="s">
        <v>170</v>
      </c>
      <c r="B29" s="16"/>
      <c r="C29" s="16"/>
      <c r="D29" s="16"/>
      <c r="E29" s="16"/>
      <c r="F29" s="16"/>
      <c r="G29" s="16"/>
      <c r="H29" s="16"/>
      <c r="I29" s="16"/>
      <c r="J29" s="190">
        <f t="shared" si="2"/>
      </c>
      <c r="K29" s="191">
        <f t="shared" si="3"/>
      </c>
      <c r="L29" s="103">
        <f t="shared" si="5"/>
      </c>
      <c r="M29" s="364">
        <f t="shared" si="4"/>
      </c>
      <c r="N29" s="212"/>
      <c r="O29" s="213"/>
      <c r="P29" s="213"/>
      <c r="Q29" s="213"/>
      <c r="R29" s="213"/>
      <c r="S29" s="213"/>
      <c r="T29" s="164">
        <f>'LPH 1-5'!P20</f>
        <v>0</v>
      </c>
      <c r="U29" s="164">
        <f t="shared" si="0"/>
        <v>0</v>
      </c>
      <c r="V29" s="28">
        <f t="shared" si="1"/>
        <v>0</v>
      </c>
    </row>
    <row r="30" spans="1:22" ht="12.75">
      <c r="A30" s="159" t="s">
        <v>82</v>
      </c>
      <c r="B30" s="206" t="str">
        <f>IF($A$26="X","Leistungsbild nach HOAI § 37",IF($A$27="X","Leistungsbild nach HOAI § 40",""))</f>
        <v>Leistungsbild nach HOAI § 40</v>
      </c>
      <c r="C30" s="16"/>
      <c r="D30" s="16"/>
      <c r="E30" s="16"/>
      <c r="F30" s="16"/>
      <c r="G30" s="16"/>
      <c r="H30" s="16"/>
      <c r="I30" s="16"/>
      <c r="J30" s="190">
        <f t="shared" si="2"/>
      </c>
      <c r="K30" s="191">
        <f t="shared" si="3"/>
      </c>
      <c r="L30" s="103">
        <f t="shared" si="5"/>
      </c>
      <c r="M30" s="364">
        <f t="shared" si="4"/>
      </c>
      <c r="N30" s="212"/>
      <c r="O30" s="213"/>
      <c r="P30" s="213"/>
      <c r="Q30" s="213"/>
      <c r="R30" s="213"/>
      <c r="S30" s="213"/>
      <c r="T30" s="164">
        <f>'LPH 1-5'!P21</f>
        <v>0</v>
      </c>
      <c r="U30" s="164">
        <f t="shared" si="0"/>
        <v>0</v>
      </c>
      <c r="V30" s="28">
        <f t="shared" si="1"/>
        <v>0</v>
      </c>
    </row>
    <row r="31" spans="1:22" ht="12.75">
      <c r="A31" s="161" t="s">
        <v>171</v>
      </c>
      <c r="B31" s="16"/>
      <c r="C31" s="16"/>
      <c r="D31" s="16"/>
      <c r="E31" s="27" t="s">
        <v>62</v>
      </c>
      <c r="F31" s="16" t="s">
        <v>63</v>
      </c>
      <c r="G31" s="16"/>
      <c r="H31" s="16" t="s">
        <v>172</v>
      </c>
      <c r="I31" s="16"/>
      <c r="J31" s="190">
        <f t="shared" si="2"/>
      </c>
      <c r="K31" s="191">
        <f t="shared" si="3"/>
      </c>
      <c r="L31" s="103">
        <f t="shared" si="5"/>
      </c>
      <c r="M31" s="364">
        <f t="shared" si="4"/>
      </c>
      <c r="N31" s="212"/>
      <c r="O31" s="213"/>
      <c r="P31" s="213"/>
      <c r="Q31" s="213"/>
      <c r="R31" s="213"/>
      <c r="S31" s="213"/>
      <c r="T31" s="164">
        <f>'LPH 1-5'!P22</f>
        <v>0</v>
      </c>
      <c r="U31" s="164">
        <f t="shared" si="0"/>
        <v>0</v>
      </c>
      <c r="V31" s="28">
        <f t="shared" si="1"/>
        <v>0</v>
      </c>
    </row>
    <row r="32" spans="1:22" ht="12.75">
      <c r="A32" s="390">
        <f>O6</f>
        <v>1</v>
      </c>
      <c r="B32" s="164" t="str">
        <f>O7</f>
        <v>Ermitteln von Aufgabenstellung u. -Umfang</v>
      </c>
      <c r="C32" s="120"/>
      <c r="D32" s="16"/>
      <c r="E32" s="324">
        <f>'Tafel § 38'!V$20</f>
        <v>0.01</v>
      </c>
      <c r="F32" s="114">
        <f>'Tafel § 38'!W$20</f>
        <v>0.03</v>
      </c>
      <c r="G32" s="325" t="s">
        <v>173</v>
      </c>
      <c r="H32" s="216">
        <v>0.03</v>
      </c>
      <c r="I32" s="16"/>
      <c r="J32" s="190">
        <f t="shared" si="2"/>
      </c>
      <c r="K32" s="191">
        <f t="shared" si="3"/>
      </c>
      <c r="L32" s="103">
        <f t="shared" si="5"/>
      </c>
      <c r="M32" s="364">
        <f t="shared" si="4"/>
      </c>
      <c r="N32" s="212"/>
      <c r="O32" s="213"/>
      <c r="P32" s="213"/>
      <c r="Q32" s="213"/>
      <c r="R32" s="213"/>
      <c r="S32" s="213"/>
      <c r="T32" s="164">
        <f>'LPH 1-5'!P23</f>
        <v>0</v>
      </c>
      <c r="U32" s="164">
        <f t="shared" si="0"/>
        <v>0</v>
      </c>
      <c r="V32" s="28">
        <f t="shared" si="1"/>
        <v>0</v>
      </c>
    </row>
    <row r="33" spans="1:22" ht="12.75">
      <c r="A33" s="390">
        <f>P6</f>
        <v>2</v>
      </c>
      <c r="B33" s="164" t="str">
        <f>P7</f>
        <v>Ermitteln von Planungsvorgaben</v>
      </c>
      <c r="C33" s="27"/>
      <c r="D33" s="27"/>
      <c r="E33" s="324">
        <f>'Tafel § 41'!V$21</f>
        <v>0.1</v>
      </c>
      <c r="F33" s="114">
        <f>'Tafel § 41'!W$21</f>
        <v>0.2</v>
      </c>
      <c r="G33" s="325" t="s">
        <v>173</v>
      </c>
      <c r="H33" s="216">
        <v>0.2</v>
      </c>
      <c r="I33" s="145"/>
      <c r="J33" s="190">
        <f t="shared" si="2"/>
      </c>
      <c r="K33" s="191">
        <f t="shared" si="3"/>
      </c>
      <c r="L33" s="103">
        <f t="shared" si="5"/>
      </c>
      <c r="M33" s="364">
        <f t="shared" si="4"/>
      </c>
      <c r="N33" s="212"/>
      <c r="O33" s="213"/>
      <c r="P33" s="213"/>
      <c r="Q33" s="213"/>
      <c r="R33" s="213"/>
      <c r="S33" s="213"/>
      <c r="T33" s="164">
        <f>'LPH 1-5'!P24</f>
        <v>0</v>
      </c>
      <c r="U33" s="164">
        <f t="shared" si="0"/>
        <v>0</v>
      </c>
      <c r="V33" s="28">
        <f t="shared" si="1"/>
        <v>0</v>
      </c>
    </row>
    <row r="34" spans="1:22" ht="12.75">
      <c r="A34" s="390"/>
      <c r="B34" s="164"/>
      <c r="C34" s="27"/>
      <c r="D34" s="27"/>
      <c r="E34" s="324"/>
      <c r="F34" s="324"/>
      <c r="G34" s="325"/>
      <c r="H34" s="325"/>
      <c r="I34" s="145"/>
      <c r="J34" s="190">
        <f t="shared" si="2"/>
      </c>
      <c r="K34" s="191">
        <f t="shared" si="3"/>
      </c>
      <c r="L34" s="103">
        <f t="shared" si="5"/>
      </c>
      <c r="M34" s="364">
        <f t="shared" si="4"/>
      </c>
      <c r="N34" s="212"/>
      <c r="O34" s="213"/>
      <c r="P34" s="213"/>
      <c r="Q34" s="213"/>
      <c r="R34" s="213"/>
      <c r="S34" s="213"/>
      <c r="T34" s="164">
        <f>'LPH 1-5'!P25</f>
        <v>0</v>
      </c>
      <c r="U34" s="164">
        <f t="shared" si="0"/>
        <v>0</v>
      </c>
      <c r="V34" s="28">
        <f t="shared" si="1"/>
        <v>0</v>
      </c>
    </row>
    <row r="35" spans="1:22" ht="12.75">
      <c r="A35" s="390"/>
      <c r="B35" s="327" t="s">
        <v>178</v>
      </c>
      <c r="C35" s="27"/>
      <c r="D35" s="27"/>
      <c r="E35" s="324"/>
      <c r="F35" s="324"/>
      <c r="G35" s="325"/>
      <c r="H35" s="325"/>
      <c r="I35" s="145"/>
      <c r="J35" s="190">
        <f t="shared" si="2"/>
      </c>
      <c r="K35" s="191">
        <f t="shared" si="3"/>
      </c>
      <c r="L35" s="103">
        <f t="shared" si="5"/>
      </c>
      <c r="M35" s="364">
        <f t="shared" si="4"/>
      </c>
      <c r="N35" s="212"/>
      <c r="O35" s="213"/>
      <c r="P35" s="213"/>
      <c r="Q35" s="213"/>
      <c r="R35" s="213"/>
      <c r="S35" s="213"/>
      <c r="T35" s="164">
        <f>'LPH 1-5'!P26</f>
        <v>0</v>
      </c>
      <c r="U35" s="164">
        <f t="shared" si="0"/>
        <v>0</v>
      </c>
      <c r="V35" s="28">
        <f t="shared" si="1"/>
        <v>0</v>
      </c>
    </row>
    <row r="36" spans="1:22" ht="12.75">
      <c r="A36" s="390"/>
      <c r="B36" s="164"/>
      <c r="C36" s="27"/>
      <c r="D36" s="27"/>
      <c r="E36" s="324"/>
      <c r="F36" s="324"/>
      <c r="G36" s="325"/>
      <c r="H36" s="325"/>
      <c r="I36" s="145"/>
      <c r="J36" s="190">
        <f t="shared" si="2"/>
      </c>
      <c r="K36" s="191">
        <f t="shared" si="3"/>
      </c>
      <c r="L36" s="103">
        <f t="shared" si="5"/>
      </c>
      <c r="M36" s="364">
        <f t="shared" si="4"/>
      </c>
      <c r="N36" s="212"/>
      <c r="O36" s="213"/>
      <c r="P36" s="213"/>
      <c r="Q36" s="213"/>
      <c r="R36" s="213"/>
      <c r="S36" s="213"/>
      <c r="T36" s="164">
        <f>'LPH 1-5'!P27</f>
        <v>0</v>
      </c>
      <c r="U36" s="164">
        <f t="shared" si="0"/>
        <v>0</v>
      </c>
      <c r="V36" s="28">
        <f t="shared" si="1"/>
        <v>0</v>
      </c>
    </row>
    <row r="37" spans="1:22" ht="12.75">
      <c r="A37" s="390"/>
      <c r="B37" s="164"/>
      <c r="C37" s="27"/>
      <c r="D37" s="27"/>
      <c r="E37" s="324"/>
      <c r="F37" s="324"/>
      <c r="G37" s="325"/>
      <c r="H37" s="325"/>
      <c r="I37" s="145"/>
      <c r="J37" s="190">
        <f t="shared" si="2"/>
      </c>
      <c r="K37" s="191">
        <f t="shared" si="3"/>
      </c>
      <c r="L37" s="103">
        <f t="shared" si="5"/>
      </c>
      <c r="M37" s="364">
        <f t="shared" si="4"/>
      </c>
      <c r="N37" s="212"/>
      <c r="O37" s="213"/>
      <c r="P37" s="213"/>
      <c r="Q37" s="213"/>
      <c r="R37" s="213"/>
      <c r="S37" s="213"/>
      <c r="T37" s="164">
        <f>'LPH 1-5'!P28</f>
        <v>0</v>
      </c>
      <c r="U37" s="164">
        <f t="shared" si="0"/>
        <v>0</v>
      </c>
      <c r="V37" s="28">
        <f t="shared" si="1"/>
        <v>0</v>
      </c>
    </row>
    <row r="38" spans="1:22" ht="12.75">
      <c r="A38" s="161"/>
      <c r="B38" s="26"/>
      <c r="C38" s="26"/>
      <c r="D38" s="26"/>
      <c r="E38" s="26"/>
      <c r="F38" s="26"/>
      <c r="G38" s="120"/>
      <c r="H38" s="120"/>
      <c r="I38" s="158"/>
      <c r="J38" s="190">
        <f t="shared" si="2"/>
      </c>
      <c r="K38" s="191">
        <f t="shared" si="3"/>
      </c>
      <c r="L38" s="103">
        <f t="shared" si="5"/>
      </c>
      <c r="M38" s="364">
        <f t="shared" si="4"/>
      </c>
      <c r="N38" s="212"/>
      <c r="O38" s="213"/>
      <c r="P38" s="213"/>
      <c r="Q38" s="213"/>
      <c r="R38" s="213"/>
      <c r="S38" s="213"/>
      <c r="T38" s="164">
        <f>'LPH 1-5'!P29</f>
        <v>0</v>
      </c>
      <c r="U38" s="164">
        <f t="shared" si="0"/>
        <v>0</v>
      </c>
      <c r="V38" s="28">
        <f t="shared" si="1"/>
        <v>0</v>
      </c>
    </row>
    <row r="39" spans="1:22" ht="12.75">
      <c r="A39" s="161"/>
      <c r="B39" s="120"/>
      <c r="C39" s="120"/>
      <c r="D39" s="120"/>
      <c r="E39" s="26"/>
      <c r="F39" s="26"/>
      <c r="G39" s="26"/>
      <c r="H39" s="120"/>
      <c r="I39" s="158"/>
      <c r="J39" s="190">
        <f t="shared" si="2"/>
      </c>
      <c r="K39" s="191">
        <f t="shared" si="3"/>
      </c>
      <c r="L39" s="103">
        <f t="shared" si="5"/>
      </c>
      <c r="M39" s="364">
        <f t="shared" si="4"/>
      </c>
      <c r="N39" s="212"/>
      <c r="O39" s="213"/>
      <c r="P39" s="213"/>
      <c r="Q39" s="213"/>
      <c r="R39" s="213"/>
      <c r="S39" s="213"/>
      <c r="T39" s="164">
        <f>'LPH 1-5'!P30</f>
        <v>0</v>
      </c>
      <c r="U39" s="164">
        <f t="shared" si="0"/>
        <v>0</v>
      </c>
      <c r="V39" s="28">
        <f t="shared" si="1"/>
        <v>0</v>
      </c>
    </row>
    <row r="40" spans="1:103" s="21" customFormat="1" ht="12.75" customHeight="1">
      <c r="A40" s="119" t="s">
        <v>50</v>
      </c>
      <c r="B40" s="168" t="s">
        <v>168</v>
      </c>
      <c r="C40" s="120"/>
      <c r="D40" s="165"/>
      <c r="E40" s="26"/>
      <c r="F40" s="26"/>
      <c r="G40" s="26"/>
      <c r="H40" s="120"/>
      <c r="I40" s="158"/>
      <c r="J40" s="354">
        <f>IF(N40=0,"",Q50)</f>
        <v>25</v>
      </c>
      <c r="K40" s="120" t="s">
        <v>135</v>
      </c>
      <c r="L40" s="149">
        <f>MAX(L20:L39)</f>
        <v>3</v>
      </c>
      <c r="M40" s="149"/>
      <c r="N40" s="171">
        <f aca="true" t="shared" si="6" ref="N40:V40">MAX(N20:N39)</f>
        <v>35881</v>
      </c>
      <c r="O40" s="114">
        <f t="shared" si="6"/>
        <v>0.6</v>
      </c>
      <c r="P40" s="114">
        <f t="shared" si="6"/>
        <v>0.6</v>
      </c>
      <c r="Q40" s="114">
        <f t="shared" si="6"/>
        <v>0.6</v>
      </c>
      <c r="R40" s="114">
        <f t="shared" si="6"/>
        <v>0.2</v>
      </c>
      <c r="S40" s="114">
        <f t="shared" si="6"/>
        <v>0.2</v>
      </c>
      <c r="T40" s="164">
        <f t="shared" si="6"/>
        <v>12437.7744</v>
      </c>
      <c r="U40" s="164">
        <f t="shared" si="6"/>
        <v>746.266464</v>
      </c>
      <c r="V40" s="28">
        <f t="shared" si="6"/>
        <v>13184.040864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</row>
    <row r="41" spans="1:103" s="21" customFormat="1" ht="12.75" customHeight="1">
      <c r="A41" s="161" t="s">
        <v>82</v>
      </c>
      <c r="B41" s="217">
        <v>35855</v>
      </c>
      <c r="C41" s="165" t="s">
        <v>37</v>
      </c>
      <c r="D41" s="165"/>
      <c r="E41" s="169"/>
      <c r="F41" s="27" t="s">
        <v>213</v>
      </c>
      <c r="G41" s="26"/>
      <c r="H41" s="16"/>
      <c r="I41" s="158"/>
      <c r="J41" s="160"/>
      <c r="K41" s="350" t="s">
        <v>148</v>
      </c>
      <c r="L41" s="349">
        <f>IF(J53=25,L40-1,IF(J53=55,L40,""))</f>
        <v>2</v>
      </c>
      <c r="M41" s="149"/>
      <c r="N41" s="172"/>
      <c r="O41" s="26"/>
      <c r="P41" s="26"/>
      <c r="Q41" s="26"/>
      <c r="R41" s="26"/>
      <c r="S41" s="26"/>
      <c r="T41" s="26"/>
      <c r="U41" s="26"/>
      <c r="V41" s="173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</row>
    <row r="42" spans="1:103" s="21" customFormat="1" ht="12.75" customHeight="1">
      <c r="A42" s="159"/>
      <c r="B42" s="395">
        <v>4.9</v>
      </c>
      <c r="C42" s="328" t="str">
        <f>IF(A26="X","= Verrechn.-Einheit (VE)","ha")</f>
        <v>ha</v>
      </c>
      <c r="D42" s="165"/>
      <c r="E42" s="367"/>
      <c r="F42" s="391">
        <v>1</v>
      </c>
      <c r="G42" s="193">
        <f>IF(B42="","",IF(B42&gt;=5,"",Honorar!E4))</f>
        <v>22931</v>
      </c>
      <c r="H42" s="16"/>
      <c r="I42" s="158"/>
      <c r="J42" s="161" t="s">
        <v>131</v>
      </c>
      <c r="K42" s="120"/>
      <c r="L42" s="120"/>
      <c r="M42" s="120"/>
      <c r="N42" s="120"/>
      <c r="O42" s="120"/>
      <c r="P42" s="120"/>
      <c r="Q42" s="120"/>
      <c r="R42" s="120"/>
      <c r="S42" s="120"/>
      <c r="T42" s="26"/>
      <c r="U42" s="26"/>
      <c r="V42" s="173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</row>
    <row r="43" spans="1:103" s="21" customFormat="1" ht="12.75" customHeight="1">
      <c r="A43" s="159"/>
      <c r="B43" s="120"/>
      <c r="C43" s="120"/>
      <c r="D43" s="165"/>
      <c r="E43" s="16"/>
      <c r="F43" s="27" t="s">
        <v>213</v>
      </c>
      <c r="G43" s="120"/>
      <c r="H43" s="16"/>
      <c r="I43" s="158"/>
      <c r="J43" s="161" t="s">
        <v>97</v>
      </c>
      <c r="K43" s="26"/>
      <c r="L43" s="26"/>
      <c r="M43" s="26"/>
      <c r="N43" s="26"/>
      <c r="O43" s="26"/>
      <c r="P43" s="26"/>
      <c r="Q43" s="26"/>
      <c r="R43" s="26"/>
      <c r="S43" s="26"/>
      <c r="T43" s="164"/>
      <c r="U43" s="26"/>
      <c r="V43" s="173"/>
      <c r="W43" s="2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</row>
    <row r="44" spans="1:103" s="21" customFormat="1" ht="12.75" customHeight="1">
      <c r="A44" s="382">
        <f>SUM(O4:S4)</f>
        <v>5</v>
      </c>
      <c r="B44" s="328" t="s">
        <v>214</v>
      </c>
      <c r="C44" s="120"/>
      <c r="D44" s="165"/>
      <c r="E44" s="16" t="s">
        <v>87</v>
      </c>
      <c r="F44" s="391">
        <f>SUM(O17:S17)</f>
        <v>1</v>
      </c>
      <c r="G44" s="193">
        <f>IF(G42="","",SUM(G42*F44))</f>
        <v>22931</v>
      </c>
      <c r="H44" s="120"/>
      <c r="I44" s="158"/>
      <c r="J44" s="161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173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</row>
    <row r="45" spans="1:103" s="21" customFormat="1" ht="12.75" customHeight="1">
      <c r="A45" s="161"/>
      <c r="B45" s="367"/>
      <c r="C45" s="120"/>
      <c r="D45" s="165"/>
      <c r="E45" s="134" t="s">
        <v>88</v>
      </c>
      <c r="F45" s="391">
        <f>IF(F27="","",$F$27)</f>
        <v>0.2</v>
      </c>
      <c r="G45" s="164">
        <f>IF(G42="","",IF($F$27="","",SUM(G44*F45)))</f>
        <v>4586.2</v>
      </c>
      <c r="H45" s="16"/>
      <c r="I45" s="158"/>
      <c r="J45" s="161"/>
      <c r="K45" s="26"/>
      <c r="L45" s="26"/>
      <c r="M45" s="27" t="s">
        <v>37</v>
      </c>
      <c r="N45" s="172">
        <f>MAX(M20:M39,M49)</f>
        <v>0</v>
      </c>
      <c r="O45" s="26" t="s">
        <v>202</v>
      </c>
      <c r="P45" s="26"/>
      <c r="Q45" s="26"/>
      <c r="R45" s="26"/>
      <c r="S45" s="26"/>
      <c r="T45" s="26"/>
      <c r="U45" s="26"/>
      <c r="V45" s="173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</row>
    <row r="46" spans="1:103" s="21" customFormat="1" ht="12.75" customHeight="1" thickBot="1">
      <c r="A46" s="161"/>
      <c r="B46" s="367"/>
      <c r="C46" s="26"/>
      <c r="D46" s="26"/>
      <c r="E46" s="16" t="s">
        <v>83</v>
      </c>
      <c r="F46" s="120"/>
      <c r="G46" s="170">
        <f>SUM(G44:G45)</f>
        <v>27517.2</v>
      </c>
      <c r="H46" s="120"/>
      <c r="I46" s="158"/>
      <c r="J46" s="177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173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</row>
    <row r="47" spans="1:103" s="21" customFormat="1" ht="12.75" customHeight="1" thickTop="1">
      <c r="A47" s="161"/>
      <c r="B47" s="26"/>
      <c r="C47" s="26"/>
      <c r="D47" s="26"/>
      <c r="E47" s="26"/>
      <c r="F47" s="26"/>
      <c r="G47" s="26"/>
      <c r="H47" s="26"/>
      <c r="I47" s="158"/>
      <c r="J47" s="177" t="s">
        <v>144</v>
      </c>
      <c r="K47" s="26"/>
      <c r="L47" s="26"/>
      <c r="M47" s="26"/>
      <c r="N47" s="248"/>
      <c r="O47" s="26"/>
      <c r="P47" s="26"/>
      <c r="Q47" s="26"/>
      <c r="R47" s="26"/>
      <c r="S47" s="26"/>
      <c r="T47" s="26"/>
      <c r="U47" s="26"/>
      <c r="V47" s="173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</row>
    <row r="48" spans="1:103" s="21" customFormat="1" ht="12.75" customHeight="1">
      <c r="A48" s="161"/>
      <c r="B48" s="26"/>
      <c r="C48" s="26"/>
      <c r="D48" s="26"/>
      <c r="E48" s="26"/>
      <c r="F48" s="26"/>
      <c r="G48" s="26"/>
      <c r="H48" s="26"/>
      <c r="I48" s="158"/>
      <c r="J48" s="161"/>
      <c r="K48" s="150"/>
      <c r="L48" s="150"/>
      <c r="M48" s="150"/>
      <c r="N48" s="197" t="s">
        <v>126</v>
      </c>
      <c r="O48" s="26"/>
      <c r="P48" s="26"/>
      <c r="Q48" s="26"/>
      <c r="R48" s="26"/>
      <c r="S48" s="26"/>
      <c r="T48" s="23" t="s">
        <v>201</v>
      </c>
      <c r="U48" s="164"/>
      <c r="V48" s="173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</row>
    <row r="49" spans="1:103" s="21" customFormat="1" ht="12.75" customHeight="1">
      <c r="A49" s="161"/>
      <c r="B49" s="26"/>
      <c r="C49" s="26"/>
      <c r="D49" s="26"/>
      <c r="E49" s="26"/>
      <c r="F49" s="26"/>
      <c r="G49" s="26"/>
      <c r="H49" s="26"/>
      <c r="I49" s="158"/>
      <c r="J49" s="354">
        <f>IF(N49="","",S50)</f>
      </c>
      <c r="K49" s="132">
        <f>IF(L49="","",IF($H$20="","",IF($H$20&lt;=N49,$F$20,"")))</f>
      </c>
      <c r="L49" s="103">
        <f>IF(N49="","",IF($J$53=30,"/S",IF($J$53=55,"/S",IF($J$53=60,"/S",IF($J$53=65,"/S",IF($J$53=90,"/S",""))))))</f>
      </c>
      <c r="M49" s="364">
        <f>IF(MAX(J20:K39)=F20,"",N49)</f>
        <v>0</v>
      </c>
      <c r="N49" s="212"/>
      <c r="O49" s="196">
        <f>IF(O18="","",IF($N$49="","",IF($L$49="","",1)))</f>
      </c>
      <c r="P49" s="196">
        <f>IF(P18="","",IF($N$49="","",IF($L$49="","",1)))</f>
      </c>
      <c r="Q49" s="196">
        <f>IF(Q18="","",IF($N$49="","",IF($L$49="","",1)))</f>
      </c>
      <c r="R49" s="196">
        <f>IF(R18="","",IF($N$49="","",IF($L$49="","",1)))</f>
      </c>
      <c r="S49" s="196">
        <f>IF(S18="","",IF($N$49="","",IF($L$49="","",1)))</f>
      </c>
      <c r="T49" s="164">
        <f>IF(N49="","",SUM('LPH 1-5'!P33))</f>
      </c>
      <c r="U49" s="164">
        <f>IF(N49="","",SUM(T49*F21))</f>
      </c>
      <c r="V49" s="28">
        <f>IF(N49="","",SUM(T49:U49))</f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</row>
    <row r="50" spans="1:103" s="21" customFormat="1" ht="12.75" customHeight="1">
      <c r="A50" s="161"/>
      <c r="B50" s="26"/>
      <c r="C50" s="26"/>
      <c r="D50" s="26"/>
      <c r="E50" s="26"/>
      <c r="F50" s="26"/>
      <c r="G50" s="26"/>
      <c r="H50" s="26"/>
      <c r="I50" s="158"/>
      <c r="J50" s="161"/>
      <c r="K50" s="319"/>
      <c r="L50" s="351" t="s">
        <v>187</v>
      </c>
      <c r="M50" s="319"/>
      <c r="N50" s="319" t="s">
        <v>188</v>
      </c>
      <c r="O50" s="352" t="s">
        <v>189</v>
      </c>
      <c r="P50" s="352" t="s">
        <v>190</v>
      </c>
      <c r="Q50" s="353">
        <v>25</v>
      </c>
      <c r="R50" s="352" t="s">
        <v>191</v>
      </c>
      <c r="S50" s="353">
        <v>30</v>
      </c>
      <c r="T50" s="26"/>
      <c r="U50" s="26"/>
      <c r="V50" s="28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</row>
    <row r="51" spans="1:103" s="21" customFormat="1" ht="12.75" customHeight="1">
      <c r="A51" s="161"/>
      <c r="B51" s="26"/>
      <c r="C51" s="26"/>
      <c r="D51" s="26"/>
      <c r="E51" s="26"/>
      <c r="F51" s="26"/>
      <c r="G51" s="26"/>
      <c r="H51" s="26"/>
      <c r="I51" s="158"/>
      <c r="J51" s="206"/>
      <c r="K51" s="26"/>
      <c r="L51" s="26"/>
      <c r="M51" s="26"/>
      <c r="N51" s="319" t="s">
        <v>192</v>
      </c>
      <c r="O51" s="352" t="s">
        <v>193</v>
      </c>
      <c r="P51" s="352" t="s">
        <v>194</v>
      </c>
      <c r="Q51" s="353">
        <v>55</v>
      </c>
      <c r="R51" s="26"/>
      <c r="S51" s="26"/>
      <c r="T51" s="26"/>
      <c r="U51" s="26"/>
      <c r="V51" s="28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</row>
    <row r="52" spans="1:103" s="21" customFormat="1" ht="12.75" customHeight="1" thickBot="1">
      <c r="A52" s="161"/>
      <c r="B52" s="26"/>
      <c r="C52" s="26"/>
      <c r="D52" s="26"/>
      <c r="E52" s="26"/>
      <c r="F52" s="26"/>
      <c r="G52" s="26"/>
      <c r="H52" s="26"/>
      <c r="I52" s="158"/>
      <c r="J52" s="354">
        <f>MAX(J40:J51)</f>
        <v>25</v>
      </c>
      <c r="K52" s="26" t="s">
        <v>135</v>
      </c>
      <c r="L52" s="263"/>
      <c r="M52" s="26"/>
      <c r="N52" s="172">
        <f>MAX(N40,N49)</f>
        <v>35881</v>
      </c>
      <c r="O52" s="222">
        <f>IF(O18="","",MAX(O40,O49))</f>
        <v>0.6</v>
      </c>
      <c r="P52" s="222">
        <f>IF(P18="","",MAX(P40,P49))</f>
        <v>0.6</v>
      </c>
      <c r="Q52" s="222">
        <f>IF(Q18="","",MAX(Q40,Q49,))</f>
        <v>0.6</v>
      </c>
      <c r="R52" s="222">
        <f>IF(R18="","",MAX(R40,R49,))</f>
        <v>0.2</v>
      </c>
      <c r="S52" s="222">
        <f>IF(S18="","",MAX(S40,S49,))</f>
        <v>0.2</v>
      </c>
      <c r="T52" s="26"/>
      <c r="U52" s="26"/>
      <c r="V52" s="28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</row>
    <row r="53" spans="1:103" s="21" customFormat="1" ht="12.75" customHeight="1" thickBot="1">
      <c r="A53" s="175"/>
      <c r="B53" s="151"/>
      <c r="C53" s="151"/>
      <c r="D53" s="151"/>
      <c r="E53" s="151"/>
      <c r="F53" s="151"/>
      <c r="G53" s="151"/>
      <c r="H53" s="151"/>
      <c r="I53" s="174"/>
      <c r="J53" s="355">
        <f>SUM(J40,J49)</f>
        <v>25</v>
      </c>
      <c r="K53" s="234" t="s">
        <v>211</v>
      </c>
      <c r="L53" s="151"/>
      <c r="M53" s="151"/>
      <c r="N53" s="151"/>
      <c r="O53" s="151"/>
      <c r="P53" s="151"/>
      <c r="Q53" s="151"/>
      <c r="R53" s="151"/>
      <c r="S53" s="151"/>
      <c r="T53" s="151"/>
      <c r="U53" s="176"/>
      <c r="V53" s="180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</row>
    <row r="54" spans="1:103" s="21" customFormat="1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L54" s="10"/>
      <c r="M54" s="10"/>
      <c r="N54" s="10"/>
      <c r="O54" s="10"/>
      <c r="P54" s="10"/>
      <c r="Q54" s="10"/>
      <c r="R54" s="10"/>
      <c r="S54" s="10"/>
      <c r="T54" s="10"/>
      <c r="U54" s="13"/>
      <c r="V54" s="13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</row>
    <row r="55" spans="1:103" s="21" customFormat="1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L55" s="10"/>
      <c r="M55" s="10"/>
      <c r="N55" s="10"/>
      <c r="O55" s="10"/>
      <c r="P55" s="10"/>
      <c r="Q55" s="10"/>
      <c r="R55" s="10"/>
      <c r="S55" s="10"/>
      <c r="T55" s="10"/>
      <c r="U55" s="13"/>
      <c r="V55" s="13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</row>
    <row r="56" spans="1:103" s="21" customFormat="1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L56" s="10"/>
      <c r="M56" s="10"/>
      <c r="N56" s="10"/>
      <c r="O56" s="10"/>
      <c r="P56" s="10"/>
      <c r="Q56" s="10"/>
      <c r="R56" s="10"/>
      <c r="S56" s="10"/>
      <c r="T56" s="10"/>
      <c r="U56" s="29"/>
      <c r="V56" s="29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</row>
    <row r="57" spans="2:103" s="21" customFormat="1" ht="12.75" customHeight="1">
      <c r="B57" s="10"/>
      <c r="C57" s="10"/>
      <c r="D57" s="10"/>
      <c r="E57" s="10"/>
      <c r="F57" s="10"/>
      <c r="G57" s="10"/>
      <c r="H57" s="10"/>
      <c r="I57" s="10"/>
      <c r="J57" s="10"/>
      <c r="L57" s="10"/>
      <c r="M57" s="10"/>
      <c r="N57" s="10"/>
      <c r="O57" s="10"/>
      <c r="P57" s="10"/>
      <c r="Q57" s="10"/>
      <c r="R57" s="10"/>
      <c r="S57" s="10"/>
      <c r="T57" s="10"/>
      <c r="U57" s="14"/>
      <c r="V57" s="14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</row>
    <row r="58" spans="2:103" s="21" customFormat="1" ht="12.75" customHeight="1">
      <c r="B58" s="10"/>
      <c r="C58" s="10"/>
      <c r="D58" s="10"/>
      <c r="E58" s="10"/>
      <c r="F58" s="10"/>
      <c r="G58" s="10"/>
      <c r="H58" s="10"/>
      <c r="I58" s="10"/>
      <c r="J58" s="10"/>
      <c r="L58" s="10"/>
      <c r="M58" s="10"/>
      <c r="N58" s="10"/>
      <c r="O58" s="10"/>
      <c r="P58" s="10"/>
      <c r="Q58" s="10"/>
      <c r="R58" s="10"/>
      <c r="S58" s="10"/>
      <c r="T58" s="10"/>
      <c r="U58" s="14"/>
      <c r="V58" s="1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</row>
    <row r="59" spans="2:103" s="21" customFormat="1" ht="12.75" customHeight="1">
      <c r="B59" s="10"/>
      <c r="C59" s="10"/>
      <c r="D59" s="10"/>
      <c r="E59" s="10"/>
      <c r="F59" s="10"/>
      <c r="G59" s="10"/>
      <c r="H59" s="10"/>
      <c r="I59" s="10"/>
      <c r="J59" s="10"/>
      <c r="L59" s="10"/>
      <c r="M59" s="10"/>
      <c r="N59" s="10"/>
      <c r="O59" s="10"/>
      <c r="P59" s="10"/>
      <c r="Q59" s="10"/>
      <c r="R59" s="10"/>
      <c r="S59" s="10"/>
      <c r="T59" s="10"/>
      <c r="U59" s="14"/>
      <c r="V59" s="14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</row>
    <row r="60" spans="2:103" s="21" customFormat="1" ht="12.75" customHeight="1">
      <c r="B60" s="10"/>
      <c r="C60" s="10"/>
      <c r="D60" s="10"/>
      <c r="E60" s="10"/>
      <c r="F60" s="10"/>
      <c r="G60" s="10"/>
      <c r="H60" s="10"/>
      <c r="I60" s="10"/>
      <c r="J60" s="10"/>
      <c r="L60" s="10"/>
      <c r="M60" s="10"/>
      <c r="N60" s="10"/>
      <c r="O60" s="10"/>
      <c r="P60" s="10"/>
      <c r="Q60" s="10"/>
      <c r="R60" s="10"/>
      <c r="S60" s="10"/>
      <c r="T60" s="10"/>
      <c r="U60" s="14"/>
      <c r="V60" s="14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</row>
    <row r="61" spans="1:22" ht="12.75" customHeight="1">
      <c r="A61" s="21"/>
      <c r="B61" s="10"/>
      <c r="C61" s="10"/>
      <c r="D61" s="10"/>
      <c r="E61" s="10"/>
      <c r="F61" s="10"/>
      <c r="G61" s="10"/>
      <c r="H61" s="10"/>
      <c r="I61" s="10"/>
      <c r="J61" s="10"/>
      <c r="K61" s="21"/>
      <c r="L61" s="10"/>
      <c r="M61" s="10"/>
      <c r="N61" s="10"/>
      <c r="O61" s="10"/>
      <c r="P61" s="10"/>
      <c r="Q61" s="10"/>
      <c r="R61" s="10"/>
      <c r="S61" s="10"/>
      <c r="T61" s="10"/>
      <c r="U61" s="14"/>
      <c r="V61" s="14"/>
    </row>
    <row r="62" spans="1:22" ht="12.75">
      <c r="A62" s="21"/>
      <c r="B62" s="10"/>
      <c r="C62" s="10"/>
      <c r="D62" s="10"/>
      <c r="E62" s="10"/>
      <c r="F62" s="10"/>
      <c r="G62" s="10"/>
      <c r="H62" s="10"/>
      <c r="I62" s="10"/>
      <c r="J62" s="10"/>
      <c r="K62" s="21"/>
      <c r="L62" s="10"/>
      <c r="M62" s="10"/>
      <c r="N62" s="10"/>
      <c r="O62" s="10"/>
      <c r="P62" s="10"/>
      <c r="Q62" s="10"/>
      <c r="R62" s="10"/>
      <c r="S62" s="10"/>
      <c r="T62" s="10"/>
      <c r="U62" s="14"/>
      <c r="V62" s="14"/>
    </row>
    <row r="63" spans="1:22" ht="12.75">
      <c r="A63" s="21"/>
      <c r="B63" s="10"/>
      <c r="C63" s="10"/>
      <c r="D63" s="10"/>
      <c r="E63" s="10"/>
      <c r="F63" s="10"/>
      <c r="G63" s="10"/>
      <c r="H63" s="10"/>
      <c r="I63" s="10"/>
      <c r="J63" s="10"/>
      <c r="K63" s="21"/>
      <c r="L63" s="10"/>
      <c r="M63" s="10"/>
      <c r="N63" s="10"/>
      <c r="O63" s="10"/>
      <c r="P63" s="10"/>
      <c r="Q63" s="10"/>
      <c r="R63" s="10"/>
      <c r="S63" s="10"/>
      <c r="T63" s="10"/>
      <c r="U63" s="14"/>
      <c r="V63" s="14"/>
    </row>
    <row r="64" spans="1:22" ht="12.75">
      <c r="A64" s="21"/>
      <c r="B64" s="10"/>
      <c r="C64" s="10"/>
      <c r="D64" s="10"/>
      <c r="E64" s="10"/>
      <c r="F64" s="10"/>
      <c r="G64" s="10"/>
      <c r="H64" s="10"/>
      <c r="I64" s="10"/>
      <c r="J64" s="10"/>
      <c r="K64" s="21"/>
      <c r="L64" s="10"/>
      <c r="M64" s="10"/>
      <c r="N64" s="10"/>
      <c r="O64" s="10"/>
      <c r="P64" s="10"/>
      <c r="Q64" s="10"/>
      <c r="R64" s="10"/>
      <c r="S64" s="10"/>
      <c r="T64" s="10"/>
      <c r="U64" s="14"/>
      <c r="V64" s="14"/>
    </row>
    <row r="65" spans="1:22" ht="12.75">
      <c r="A65" s="21"/>
      <c r="B65" s="10"/>
      <c r="C65" s="10"/>
      <c r="D65" s="10"/>
      <c r="E65" s="10"/>
      <c r="F65" s="10"/>
      <c r="G65" s="10"/>
      <c r="H65" s="10"/>
      <c r="I65" s="10"/>
      <c r="J65" s="10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14"/>
      <c r="V65" s="14"/>
    </row>
    <row r="66" spans="1:22" ht="12.75">
      <c r="A66" s="21"/>
      <c r="B66" s="10"/>
      <c r="C66" s="10"/>
      <c r="D66" s="10"/>
      <c r="E66" s="10"/>
      <c r="F66" s="10"/>
      <c r="G66" s="10"/>
      <c r="H66" s="10"/>
      <c r="I66" s="10"/>
      <c r="J66" s="10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12.75">
      <c r="A67" s="21"/>
      <c r="B67" s="21"/>
      <c r="C67" s="21"/>
      <c r="D67" s="21"/>
      <c r="E67" s="21"/>
      <c r="F67" s="21"/>
      <c r="G67" s="21"/>
      <c r="H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12.75">
      <c r="A68" s="21"/>
      <c r="B68" s="21"/>
      <c r="C68" s="21"/>
      <c r="D68" s="21"/>
      <c r="E68" s="21"/>
      <c r="F68" s="21"/>
      <c r="G68" s="21"/>
      <c r="H68" s="21"/>
      <c r="T68" s="21"/>
      <c r="U68" s="21"/>
      <c r="V68" s="21"/>
    </row>
    <row r="69" spans="1:22" ht="12.75">
      <c r="A69" s="21"/>
      <c r="B69" s="21"/>
      <c r="C69" s="21"/>
      <c r="D69" s="21"/>
      <c r="E69" s="21"/>
      <c r="F69" s="21"/>
      <c r="T69" s="21"/>
      <c r="U69" s="21"/>
      <c r="V69" s="21"/>
    </row>
    <row r="70" spans="1:22" ht="12.75">
      <c r="A70" s="21"/>
      <c r="B70" s="21"/>
      <c r="C70" s="21"/>
      <c r="D70" s="21"/>
      <c r="E70" s="21"/>
      <c r="F70" s="21"/>
      <c r="T70" s="21"/>
      <c r="U70" s="21"/>
      <c r="V70" s="21"/>
    </row>
    <row r="71" spans="1:6" ht="12.75">
      <c r="A71" s="21"/>
      <c r="B71" s="21"/>
      <c r="C71" s="21"/>
      <c r="D71" s="21"/>
      <c r="E71" s="21"/>
      <c r="F71" s="21"/>
    </row>
    <row r="72" spans="1:6" ht="12.75">
      <c r="A72" s="21"/>
      <c r="B72" s="21"/>
      <c r="C72" s="21"/>
      <c r="D72" s="21"/>
      <c r="E72" s="21"/>
      <c r="F72" s="21"/>
    </row>
    <row r="73" spans="1:6" ht="12.75">
      <c r="A73" s="21"/>
      <c r="B73" s="21"/>
      <c r="C73" s="21"/>
      <c r="D73" s="21"/>
      <c r="E73" s="21"/>
      <c r="F73" s="21"/>
    </row>
    <row r="74" spans="1:6" ht="12.75">
      <c r="A74" s="21"/>
      <c r="B74" s="21"/>
      <c r="C74" s="21"/>
      <c r="D74" s="21"/>
      <c r="E74" s="21"/>
      <c r="F74" s="21"/>
    </row>
    <row r="75" spans="1:6" ht="12.75">
      <c r="A75" s="21"/>
      <c r="B75" s="21"/>
      <c r="C75" s="21"/>
      <c r="D75" s="21"/>
      <c r="E75" s="21"/>
      <c r="F75" s="21"/>
    </row>
  </sheetData>
  <sheetProtection password="C611" sheet="1" objects="1" scenarios="1"/>
  <mergeCells count="17">
    <mergeCell ref="O7:O15"/>
    <mergeCell ref="P7:P15"/>
    <mergeCell ref="S7:S15"/>
    <mergeCell ref="R7:R15"/>
    <mergeCell ref="Q7:Q15"/>
    <mergeCell ref="J1:L1"/>
    <mergeCell ref="C8:G8"/>
    <mergeCell ref="G27:I27"/>
    <mergeCell ref="J19:K19"/>
    <mergeCell ref="C10:G10"/>
    <mergeCell ref="J11:N11"/>
    <mergeCell ref="A1:B1"/>
    <mergeCell ref="C9:G9"/>
    <mergeCell ref="C7:G7"/>
    <mergeCell ref="C3:G3"/>
    <mergeCell ref="C4:G4"/>
    <mergeCell ref="C5:D5"/>
  </mergeCells>
  <printOptions horizontalCentered="1" verticalCentered="1"/>
  <pageMargins left="0.3937007874015748" right="0" top="0.3937007874015748" bottom="0" header="0" footer="0"/>
  <pageSetup fitToHeight="1" fitToWidth="1" horizontalDpi="300" verticalDpi="3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D18" sqref="D18"/>
    </sheetView>
  </sheetViews>
  <sheetFormatPr defaultColWidth="11.421875" defaultRowHeight="12.75"/>
  <cols>
    <col min="1" max="1" width="3.8515625" style="5" customWidth="1"/>
    <col min="2" max="2" width="5.140625" style="5" customWidth="1"/>
    <col min="3" max="3" width="2.8515625" style="5" customWidth="1"/>
    <col min="4" max="4" width="19.140625" style="5" customWidth="1"/>
    <col min="5" max="5" width="13.28125" style="5" customWidth="1"/>
    <col min="6" max="6" width="4.8515625" style="5" customWidth="1"/>
    <col min="7" max="7" width="4.7109375" style="115" customWidth="1"/>
    <col min="8" max="8" width="1.421875" style="5" customWidth="1"/>
    <col min="9" max="9" width="7.00390625" style="5" customWidth="1"/>
    <col min="10" max="10" width="2.28125" style="5" customWidth="1"/>
    <col min="11" max="11" width="4.57421875" style="5" customWidth="1"/>
    <col min="12" max="12" width="5.00390625" style="5" customWidth="1"/>
    <col min="13" max="13" width="4.7109375" style="5" customWidth="1"/>
    <col min="14" max="14" width="12.421875" style="5" customWidth="1"/>
    <col min="15" max="15" width="3.7109375" style="5" customWidth="1"/>
    <col min="16" max="16" width="9.57421875" style="75" customWidth="1"/>
    <col min="17" max="17" width="14.8515625" style="75" customWidth="1"/>
    <col min="18" max="18" width="11.8515625" style="75" customWidth="1"/>
    <col min="19" max="81" width="11.421875" style="75" customWidth="1"/>
    <col min="82" max="16384" width="11.421875" style="5" customWidth="1"/>
  </cols>
  <sheetData>
    <row r="1" spans="1:15" ht="12.75">
      <c r="A1" s="30" t="str">
        <f>IF(STAMMDATEN!C7="","",STAMMDATEN!C7)</f>
        <v>Herr</v>
      </c>
      <c r="J1" s="31"/>
      <c r="L1" s="4"/>
      <c r="O1" s="32"/>
    </row>
    <row r="2" spans="1:15" ht="12.75">
      <c r="A2" s="30" t="str">
        <f>IF(STAMMDATEN!C8="","",STAMMDATEN!C8)</f>
        <v>Justus Müller</v>
      </c>
      <c r="C2" s="30"/>
      <c r="D2" s="30"/>
      <c r="E2" s="30"/>
      <c r="F2" s="30"/>
      <c r="K2" s="33"/>
      <c r="L2" s="33"/>
      <c r="M2" s="33"/>
      <c r="N2" s="199" t="s">
        <v>81</v>
      </c>
      <c r="O2" s="199"/>
    </row>
    <row r="3" spans="1:15" ht="12.75">
      <c r="A3" s="30" t="str">
        <f>IF(STAMMDATEN!C9="","",STAMMDATEN!C9)</f>
        <v>Wendeplatte 19</v>
      </c>
      <c r="C3" s="30"/>
      <c r="D3" s="30"/>
      <c r="E3" s="30"/>
      <c r="F3" s="30"/>
      <c r="K3" s="35" t="s">
        <v>46</v>
      </c>
      <c r="L3" s="36"/>
      <c r="M3" s="36"/>
      <c r="N3" s="37" t="str">
        <f>STAMMDATEN!C5</f>
        <v>00-2599</v>
      </c>
      <c r="O3" s="388">
        <f>IF(A35=0,"",IF(A35=30,"/S",IF(A35=35,"/S",IF(A35=55,"/S",IF(A35=60,"/S",IF(A35=65,"/S2",IF(A35=90,"/S2",A15)))))))</f>
        <v>3</v>
      </c>
    </row>
    <row r="4" spans="2:15" ht="12.75">
      <c r="B4" s="30"/>
      <c r="C4" s="30"/>
      <c r="D4" s="30"/>
      <c r="E4" s="30"/>
      <c r="F4" s="30"/>
      <c r="K4" s="35" t="s">
        <v>104</v>
      </c>
      <c r="L4" s="36"/>
      <c r="M4" s="36"/>
      <c r="N4" s="38">
        <f>IF(STAMMDATEN!N52="","",STAMMDATEN!N52)</f>
        <v>35881</v>
      </c>
      <c r="O4" s="39" t="str">
        <f>IF(STAMMDATEN!F11="","",STAMMDATEN!F11)</f>
        <v>til</v>
      </c>
    </row>
    <row r="5" spans="1:6" ht="12.75">
      <c r="A5" s="30" t="str">
        <f>IF(STAMMDATEN!C10="","",STAMMDATEN!C10)</f>
        <v>70711 Stuttgart</v>
      </c>
      <c r="C5" s="30"/>
      <c r="D5" s="30"/>
      <c r="E5" s="30"/>
      <c r="F5" s="30"/>
    </row>
    <row r="6" spans="1:12" ht="63.75" customHeight="1">
      <c r="A6" s="30" t="s">
        <v>19</v>
      </c>
      <c r="C6" s="30"/>
      <c r="D6" s="30"/>
      <c r="E6" s="40" t="str">
        <f>IF(STAMMDATEN!A26="X",STAMMDATEN!D26,IF(STAMMDATEN!A27="X",STAMMDATEN!D27,""))</f>
        <v>nach HOAI § 41</v>
      </c>
      <c r="F6" s="40" t="s">
        <v>44</v>
      </c>
      <c r="G6" s="116" t="str">
        <f>IF(STAMMDATEN!A26="X",STAMMDATEN!B26,IF(STAMMDATEN!A27="X",STAMMDATEN!B27,""))</f>
        <v>Bebauungsplan</v>
      </c>
      <c r="L6" s="41"/>
    </row>
    <row r="7" ht="18.75" customHeight="1">
      <c r="A7" s="42" t="str">
        <f ca="1">CELL("dateiname")</f>
        <v>D:\HOAI\aktuell41\[DEM38_6.xls]STAMMDATEN</v>
      </c>
    </row>
    <row r="8" spans="1:14" ht="12.75">
      <c r="A8" s="41" t="s">
        <v>20</v>
      </c>
      <c r="C8" s="5" t="str">
        <f>STAMMDATEN!C3</f>
        <v>Einfamilienwohnhaus</v>
      </c>
      <c r="F8" s="30"/>
      <c r="I8" s="21" t="s">
        <v>52</v>
      </c>
      <c r="J8" s="40"/>
      <c r="K8" s="40"/>
      <c r="L8" s="40"/>
      <c r="N8" s="398" t="str">
        <f>IF(STAMMDATEN!C15="X",STAMMDATEN!D15,IF(STAMMDATEN!C16="X",STAMMDATEN!D16,IF(STAMMDATEN!C17="X",STAMMDATEN!D17,IF(STAMMDATEN!C18="X",STAMMDATEN!D18,IF(STAMMDATEN!C19="X",STAMMDATEN!D19,"")))))</f>
        <v>Mittelsatz</v>
      </c>
    </row>
    <row r="9" spans="1:14" ht="12.75" customHeight="1">
      <c r="A9" s="41" t="s">
        <v>31</v>
      </c>
      <c r="B9" s="41"/>
      <c r="C9" s="5" t="str">
        <f>STAMMDATEN!C4</f>
        <v>Reutlingen / Steinenbergstrasse 35</v>
      </c>
      <c r="I9" s="21" t="s">
        <v>54</v>
      </c>
      <c r="J9" s="40"/>
      <c r="K9" s="40"/>
      <c r="L9" s="40"/>
      <c r="N9" s="399" t="str">
        <f>IF(STAMMDATEN!A15="X",STAMMDATEN!B15,IF(STAMMDATEN!A16="X",STAMMDATEN!B16,IF(STAMMDATEN!A17="X",STAMMDATEN!B17,IF(STAMMDATEN!A18="X",STAMMDATEN!B18,IF(STAMMDATEN!A19="X",STAMMDATEN!B19,"")))))</f>
        <v>  III §§ 39a HOAI</v>
      </c>
    </row>
    <row r="10" spans="1:14" ht="12.75" customHeight="1">
      <c r="A10" s="41"/>
      <c r="B10" s="41"/>
      <c r="I10" s="41"/>
      <c r="L10" s="40"/>
      <c r="N10" s="40"/>
    </row>
    <row r="11" ht="12.75" customHeight="1"/>
    <row r="12" spans="1:14" ht="12.75">
      <c r="A12" s="41" t="s">
        <v>203</v>
      </c>
      <c r="B12" s="41"/>
      <c r="I12" s="41" t="s">
        <v>204</v>
      </c>
      <c r="L12" s="40"/>
      <c r="N12" s="40"/>
    </row>
    <row r="13" spans="2:15" ht="12.75">
      <c r="B13" s="143"/>
      <c r="D13" s="40">
        <f>IF(STAMMDATEN!A26="X","Verrechnungseinheit (VE)","")</f>
      </c>
      <c r="E13" s="383">
        <f>IF(STAMMDATEN!B42="","",STAMMDATEN!B42)</f>
        <v>4.9</v>
      </c>
      <c r="F13" s="70" t="str">
        <f>IF(STAMMDATEN!A27="X","ha","")</f>
        <v>ha</v>
      </c>
      <c r="I13" s="41" t="s">
        <v>209</v>
      </c>
      <c r="N13" s="43">
        <f>STAMMDATEN!G42</f>
        <v>22931</v>
      </c>
      <c r="O13" s="70" t="str">
        <f>IF(N13="","",IF(STAMMDATEN!$A$21="X",STAMMDATEN!$C$21,STAMMDATEN!$C$22))</f>
        <v>€</v>
      </c>
    </row>
    <row r="14" spans="2:15" ht="12.75">
      <c r="B14" s="143"/>
      <c r="C14" s="41"/>
      <c r="E14" s="43"/>
      <c r="F14" s="70"/>
      <c r="I14" s="21"/>
      <c r="N14" s="43"/>
      <c r="O14" s="70"/>
    </row>
    <row r="15" spans="1:15" ht="24" customHeight="1">
      <c r="A15" s="45">
        <f>IF(A35=0,"",IF(A35=25,STAMMDATEN!L40,""))</f>
        <v>3</v>
      </c>
      <c r="B15" s="30" t="str">
        <f>IF(O3="","",IF(A35=25,"ABSCHLAGSZAHLUNG für städtebauliche Leistungen",IF(A35&gt;=65,"SCHLUSSRECHNUNG incl. Leistungs-Ph. 9","SCHLUSSRECHNUNG für städtebauliche Leistungen")))</f>
        <v>ABSCHLAGSZAHLUNG für städtebauliche Leistungen</v>
      </c>
      <c r="F15" s="46"/>
      <c r="G15" s="117"/>
      <c r="H15" s="47"/>
      <c r="I15" s="4"/>
      <c r="J15" s="4"/>
      <c r="K15" s="4"/>
      <c r="L15" s="4"/>
      <c r="M15" s="4"/>
      <c r="N15" s="4"/>
      <c r="O15" s="44"/>
    </row>
    <row r="16" spans="1:15" ht="18" customHeight="1">
      <c r="A16" s="21" t="s">
        <v>60</v>
      </c>
      <c r="B16" s="4"/>
      <c r="C16" s="4"/>
      <c r="D16" s="40"/>
      <c r="E16" s="48">
        <f>STAMMDATEN!E13</f>
        <v>36718</v>
      </c>
      <c r="F16" s="4"/>
      <c r="G16" s="427" t="s">
        <v>120</v>
      </c>
      <c r="H16" s="47"/>
      <c r="K16" s="10"/>
      <c r="N16" s="387" t="str">
        <f>IF(STAMMDATEN!A26="X","Grundleistungen ( GL ) nach HOAI § 37","Grundleistungen ( GL ) nach HOAI § 40")</f>
        <v>Grundleistungen ( GL ) nach HOAI § 40</v>
      </c>
      <c r="O16" s="44"/>
    </row>
    <row r="17" spans="7:15" ht="12.75" customHeight="1">
      <c r="G17" s="427"/>
      <c r="H17" s="47"/>
      <c r="I17" s="426" t="s">
        <v>61</v>
      </c>
      <c r="J17" s="41"/>
      <c r="O17" s="49"/>
    </row>
    <row r="18" spans="2:15" ht="12.75" customHeight="1">
      <c r="B18" s="50"/>
      <c r="C18" s="50"/>
      <c r="D18" s="50"/>
      <c r="E18" s="51"/>
      <c r="G18" s="427"/>
      <c r="H18" s="47"/>
      <c r="I18" s="426"/>
      <c r="L18" s="21"/>
      <c r="M18" s="54"/>
      <c r="N18" s="54"/>
      <c r="O18" s="55"/>
    </row>
    <row r="19" spans="1:15" ht="12.75" customHeight="1">
      <c r="A19" s="5" t="s">
        <v>95</v>
      </c>
      <c r="B19" s="50"/>
      <c r="C19" s="50"/>
      <c r="D19" s="50"/>
      <c r="E19" s="51"/>
      <c r="F19" s="51"/>
      <c r="G19" s="427"/>
      <c r="I19" s="426"/>
      <c r="J19" s="56"/>
      <c r="M19" s="57"/>
      <c r="N19" s="57"/>
      <c r="O19" s="49"/>
    </row>
    <row r="20" spans="2:15" ht="12.75" customHeight="1">
      <c r="B20" s="369" t="s">
        <v>206</v>
      </c>
      <c r="C20" s="4"/>
      <c r="E20" s="43"/>
      <c r="F20" s="51" t="s">
        <v>40</v>
      </c>
      <c r="G20" s="427"/>
      <c r="I20" s="426"/>
      <c r="J20" s="56"/>
      <c r="K20" s="58"/>
      <c r="O20" s="59"/>
    </row>
    <row r="21" spans="1:15" ht="12.75">
      <c r="A21" s="32">
        <v>1</v>
      </c>
      <c r="B21" s="25" t="str">
        <f>STAMMDATEN!O7</f>
        <v>Ermitteln von Aufgabenstellung u. -Umfang</v>
      </c>
      <c r="F21" s="60">
        <f>IF(G21="","",STAMMDATEN!O16)</f>
        <v>0.03</v>
      </c>
      <c r="G21" s="60">
        <f>IF(STAMMDATEN!O18="","",STAMMDATEN!O18)</f>
        <v>1</v>
      </c>
      <c r="H21" s="61"/>
      <c r="I21" s="60">
        <f>IF(G21="","",STAMMDATEN!$O$52)</f>
        <v>0.6</v>
      </c>
      <c r="J21" s="61"/>
      <c r="K21" s="60"/>
      <c r="N21" s="43">
        <f>IF(G21="","",'LPH 1-5'!$E$35)</f>
        <v>412.758</v>
      </c>
      <c r="O21" s="70" t="str">
        <f>IF(N21="","",IF(STAMMDATEN!$A$21="X",STAMMDATEN!$C$21,STAMMDATEN!$C$22))</f>
        <v>€</v>
      </c>
    </row>
    <row r="22" spans="1:15" ht="12.75">
      <c r="A22" s="32">
        <v>2</v>
      </c>
      <c r="B22" s="25" t="str">
        <f>STAMMDATEN!P7</f>
        <v>Ermitteln von Planungsvorgaben</v>
      </c>
      <c r="F22" s="60">
        <f>IF(G22="","",STAMMDATEN!P16)</f>
        <v>0.2</v>
      </c>
      <c r="G22" s="60">
        <f>IF(STAMMDATEN!P18="","",STAMMDATEN!P18)</f>
        <v>1</v>
      </c>
      <c r="H22" s="61"/>
      <c r="I22" s="60">
        <f>IF(G22="","",STAMMDATEN!$P$52)</f>
        <v>0.6</v>
      </c>
      <c r="J22" s="61"/>
      <c r="K22" s="60"/>
      <c r="L22" s="363"/>
      <c r="N22" s="43">
        <f>IF(G22="","",'LPH 1-5'!$G$35)</f>
        <v>2751.72</v>
      </c>
      <c r="O22" s="70" t="str">
        <f>IF(N22="","",IF(STAMMDATEN!$A$21="X",STAMMDATEN!$C$21,STAMMDATEN!$C$22))</f>
        <v>€</v>
      </c>
    </row>
    <row r="23" spans="1:15" ht="12.75">
      <c r="A23" s="32">
        <v>3</v>
      </c>
      <c r="B23" s="25" t="str">
        <f>STAMMDATEN!Q7</f>
        <v>Vorentwurf</v>
      </c>
      <c r="F23" s="60">
        <f>IF(G23="","",STAMMDATEN!Q16)</f>
        <v>0.4</v>
      </c>
      <c r="G23" s="60">
        <f>IF(STAMMDATEN!Q18="","",STAMMDATEN!Q18)</f>
        <v>1</v>
      </c>
      <c r="H23" s="61"/>
      <c r="I23" s="60">
        <f>IF(G23="","",STAMMDATEN!$Q$52)</f>
        <v>0.6</v>
      </c>
      <c r="J23" s="61"/>
      <c r="K23" s="60"/>
      <c r="L23" s="363"/>
      <c r="N23" s="43">
        <f>IF(G23="","",'LPH 1-5'!$I$35)</f>
        <v>5503.44</v>
      </c>
      <c r="O23" s="70" t="str">
        <f>IF(N23="","",IF(STAMMDATEN!$A$21="X",STAMMDATEN!$C$21,STAMMDATEN!$C$22))</f>
        <v>€</v>
      </c>
    </row>
    <row r="24" spans="1:15" ht="12.75">
      <c r="A24" s="32">
        <v>4</v>
      </c>
      <c r="B24" s="25" t="str">
        <f>STAMMDATEN!R7</f>
        <v>Entwurf</v>
      </c>
      <c r="E24" s="62"/>
      <c r="F24" s="60">
        <f>IF(G24="","",STAMMDATEN!R16)</f>
        <v>0.3</v>
      </c>
      <c r="G24" s="60">
        <f>IF(STAMMDATEN!R18="","",STAMMDATEN!R18)</f>
        <v>1</v>
      </c>
      <c r="H24" s="61"/>
      <c r="I24" s="60">
        <f>IF(G24="","",STAMMDATEN!$R$52)</f>
        <v>0.2</v>
      </c>
      <c r="J24" s="61"/>
      <c r="K24" s="60"/>
      <c r="L24" s="363"/>
      <c r="N24" s="43">
        <f>IF(G24="","",'LPH 1-5'!$K$35)</f>
        <v>1375.8600000000001</v>
      </c>
      <c r="O24" s="70" t="str">
        <f>IF(N24="","",IF(STAMMDATEN!$A$21="X",STAMMDATEN!$C$21,STAMMDATEN!$C$22))</f>
        <v>€</v>
      </c>
    </row>
    <row r="25" spans="1:15" ht="12.75">
      <c r="A25" s="32">
        <v>5</v>
      </c>
      <c r="B25" s="25" t="str">
        <f>STAMMDATEN!S7</f>
        <v>Planfassung </v>
      </c>
      <c r="F25" s="60">
        <f>IF(G25="","",STAMMDATEN!S16)</f>
        <v>0.07</v>
      </c>
      <c r="G25" s="60">
        <f>IF(STAMMDATEN!S18="","",STAMMDATEN!S18)</f>
        <v>1</v>
      </c>
      <c r="H25" s="61"/>
      <c r="I25" s="60">
        <f>IF(G25="","",STAMMDATEN!$S$52)</f>
        <v>0.2</v>
      </c>
      <c r="J25" s="61"/>
      <c r="K25" s="60"/>
      <c r="L25" s="363"/>
      <c r="N25" s="224">
        <f>IF(G25="","",'LPH 1-5'!$M$35)</f>
        <v>321.03400000000005</v>
      </c>
      <c r="O25" s="70" t="str">
        <f>IF(N25="","",IF(STAMMDATEN!$A$21="X",STAMMDATEN!$C$21,STAMMDATEN!$C$22))</f>
        <v>€</v>
      </c>
    </row>
    <row r="26" spans="2:15" ht="12.75">
      <c r="B26" s="4" t="s">
        <v>99</v>
      </c>
      <c r="C26" s="32"/>
      <c r="F26" s="60"/>
      <c r="G26" s="60"/>
      <c r="H26" s="61"/>
      <c r="I26" s="60"/>
      <c r="J26" s="61"/>
      <c r="K26" s="60"/>
      <c r="L26" s="363"/>
      <c r="M26" s="40"/>
      <c r="N26" s="43">
        <f>SUM(N21:N25)</f>
        <v>10364.812</v>
      </c>
      <c r="O26" s="70" t="str">
        <f>IF(N26=0,"",IF(STAMMDATEN!$A$21="X",STAMMDATEN!$C$21,STAMMDATEN!$C$22))</f>
        <v>€</v>
      </c>
    </row>
    <row r="27" spans="5:13" ht="12.75">
      <c r="E27" s="62"/>
      <c r="F27" s="60"/>
      <c r="G27" s="60"/>
      <c r="H27" s="61"/>
      <c r="I27" s="60"/>
      <c r="J27" s="61"/>
      <c r="K27" s="60"/>
      <c r="L27" s="363"/>
      <c r="M27" s="40"/>
    </row>
    <row r="28" spans="1:15" ht="12.75">
      <c r="A28" s="4"/>
      <c r="B28" s="369" t="s">
        <v>217</v>
      </c>
      <c r="E28" s="62"/>
      <c r="F28" s="60"/>
      <c r="G28" s="60"/>
      <c r="H28" s="61"/>
      <c r="I28" s="60"/>
      <c r="J28" s="61"/>
      <c r="K28" s="60"/>
      <c r="L28" s="363"/>
      <c r="M28" s="40"/>
      <c r="N28" s="43"/>
      <c r="O28" s="70"/>
    </row>
    <row r="29" spans="1:15" ht="12.75">
      <c r="A29" s="32"/>
      <c r="B29" s="389" t="str">
        <f>IF(K29="","","für")</f>
        <v>für</v>
      </c>
      <c r="C29" s="370" t="str">
        <f>IF(K29="","keine weiteren Zuschläge",STAMMDATEN!$G$27)</f>
        <v>sonstige städtebaul. Leistungen lt. § 42</v>
      </c>
      <c r="F29" s="60"/>
      <c r="G29" s="60"/>
      <c r="H29" s="61"/>
      <c r="I29" s="60"/>
      <c r="J29" s="61"/>
      <c r="K29" s="60">
        <f>IF(STAMMDATEN!$F$27="","",STAMMDATEN!$F$27)</f>
        <v>0.2</v>
      </c>
      <c r="L29" s="363"/>
      <c r="M29" s="40"/>
      <c r="N29" s="43">
        <f>IF(K29="","",SUM(N26*K29))</f>
        <v>2072.9624</v>
      </c>
      <c r="O29" s="70" t="str">
        <f>IF(N29="","",IF(STAMMDATEN!$A$21="X",STAMMDATEN!$C$21,STAMMDATEN!$C$22))</f>
        <v>€</v>
      </c>
    </row>
    <row r="30" spans="2:15" ht="12.75" customHeight="1">
      <c r="B30" s="75"/>
      <c r="C30" s="32"/>
      <c r="E30" s="62"/>
      <c r="F30" s="60"/>
      <c r="G30" s="60"/>
      <c r="H30" s="61"/>
      <c r="I30" s="60"/>
      <c r="J30" s="61"/>
      <c r="K30" s="60"/>
      <c r="L30" s="363"/>
      <c r="M30" s="40"/>
      <c r="N30" s="43"/>
      <c r="O30" s="70"/>
    </row>
    <row r="31" spans="1:15" ht="12.75" customHeight="1">
      <c r="A31" s="4"/>
      <c r="E31" s="62"/>
      <c r="F31" s="60"/>
      <c r="G31" s="60"/>
      <c r="H31" s="61"/>
      <c r="I31" s="60"/>
      <c r="J31" s="61"/>
      <c r="K31" s="60"/>
      <c r="L31" s="363"/>
      <c r="M31" s="40"/>
      <c r="N31" s="43"/>
      <c r="O31" s="70"/>
    </row>
    <row r="32" spans="1:15" ht="12.75" customHeight="1">
      <c r="A32" s="4"/>
      <c r="B32" s="369" t="s">
        <v>207</v>
      </c>
      <c r="E32" s="62"/>
      <c r="F32" s="60"/>
      <c r="G32" s="60"/>
      <c r="H32" s="61"/>
      <c r="I32" s="60"/>
      <c r="K32" s="53">
        <f>IF(STAMMDATEN!F21="","keine",STAMMDATEN!F21)</f>
        <v>0.06</v>
      </c>
      <c r="L32" s="52">
        <f>IF($K$32="KEINE","( * )","")</f>
      </c>
      <c r="M32" s="40"/>
      <c r="N32" s="43">
        <f>IF(STAMMDATEN!F21="","",SUM(N26:N31)*K32)</f>
        <v>746.266464</v>
      </c>
      <c r="O32" s="70" t="str">
        <f>IF(N32="","",IF(STAMMDATEN!$A$21="X",STAMMDATEN!$C$21,STAMMDATEN!$C$22))</f>
        <v>€</v>
      </c>
    </row>
    <row r="33" spans="2:15" ht="12.75" customHeight="1">
      <c r="B33" s="385">
        <f>IF($K$32="KEINE","( * )","")</f>
      </c>
      <c r="C33" s="66">
        <f>IF($L$32="( * )","Die Abrechnung der Nebenkosten erfolgt mit separater Rechnung","")</f>
      </c>
      <c r="E33" s="62"/>
      <c r="F33" s="60"/>
      <c r="G33" s="60"/>
      <c r="H33" s="61"/>
      <c r="I33" s="60"/>
      <c r="J33" s="61"/>
      <c r="K33" s="60"/>
      <c r="L33" s="363"/>
      <c r="M33" s="40"/>
      <c r="N33" s="43"/>
      <c r="O33" s="70"/>
    </row>
    <row r="34" spans="5:13" ht="12.75" customHeight="1">
      <c r="E34" s="62"/>
      <c r="F34" s="60"/>
      <c r="G34" s="60"/>
      <c r="H34" s="61"/>
      <c r="I34" s="60"/>
      <c r="J34" s="61"/>
      <c r="K34" s="60"/>
      <c r="L34" s="363"/>
      <c r="M34" s="40"/>
    </row>
    <row r="35" spans="1:15" ht="12.75" customHeight="1">
      <c r="A35" s="384">
        <f>STAMMDATEN!J53</f>
        <v>25</v>
      </c>
      <c r="C35" s="256"/>
      <c r="E35" s="43"/>
      <c r="F35" s="17"/>
      <c r="G35" s="118"/>
      <c r="H35" s="63" t="str">
        <f>IF(STAMMDATEN!L20="","",IF(A15=1,"","abzüglich"))</f>
        <v>abzüglich</v>
      </c>
      <c r="I35" s="64"/>
      <c r="K35" s="63" t="str">
        <f>IF(SUM(I21:I25)=0,"",IF(A35=0,"",IF(A35=25,"AZ 1",IF(A35=30,"",IF(A35=35,"",IF(A35=55,"AZ 1",IF(A35=60,"AZ 1",IF(A35&gt;=55,"1. Schluss"))))))))</f>
        <v>AZ 1</v>
      </c>
      <c r="L35" s="65">
        <f>IF(A35=0,"",IF(A15&lt;=2,"",IF(SUM(STAMMDATEN!L40:L41)=2,"",IF(A35=25,STAMMDATEN!L40-1,IF(A35=55,STAMMDATEN!L40,IF(A35=60,STAMMDATEN!L40,IF(A35&gt;=60,"-Rechnung","")))))))</f>
        <v>2</v>
      </c>
      <c r="N35" s="43">
        <f>-IF(N26="","",'LPH 1-5'!S35)</f>
        <v>-7350.394464</v>
      </c>
      <c r="O35" s="70" t="str">
        <f>IF(N35=0,"",IF(STAMMDATEN!$A$21="X",STAMMDATEN!$C$21,STAMMDATEN!$C$22))</f>
        <v>€</v>
      </c>
    </row>
    <row r="36" spans="2:15" ht="12.75" customHeight="1">
      <c r="B36" s="256"/>
      <c r="D36" s="63">
        <f>IF(STAMMDATEN!N6="","",STAMMDATEN!N5)</f>
      </c>
      <c r="E36" s="43">
        <f>IF(STAMMDATEN!N6="","",STAMMDATEN!J11)</f>
      </c>
      <c r="F36" s="17"/>
      <c r="G36" s="118"/>
      <c r="H36" s="402"/>
      <c r="I36" s="64"/>
      <c r="J36" s="63"/>
      <c r="M36" s="21"/>
      <c r="N36" s="43">
        <f>IF(STAMMDATEN!N6="","",STAMMDATEN!N6)</f>
      </c>
      <c r="O36" s="70">
        <f>IF(N36="","",IF(STAMMDATEN!$A$21="X",STAMMDATEN!$C$21,STAMMDATEN!$C$22))</f>
      </c>
    </row>
    <row r="37" spans="2:15" ht="12.75" customHeight="1">
      <c r="B37" s="4" t="s">
        <v>210</v>
      </c>
      <c r="D37" s="67"/>
      <c r="F37" s="17"/>
      <c r="G37" s="118"/>
      <c r="H37" s="20"/>
      <c r="I37" s="64"/>
      <c r="N37" s="401">
        <f>IF(N26="","",SUM(N26:N36))</f>
        <v>5833.6464000000005</v>
      </c>
      <c r="O37" s="70" t="str">
        <f>IF(N37=0,"",IF(STAMMDATEN!$A$21="X",STAMMDATEN!$C$21,STAMMDATEN!$C$22))</f>
        <v>€</v>
      </c>
    </row>
    <row r="38" spans="1:15" ht="12.75" customHeight="1">
      <c r="A38" s="116">
        <f>IF(STAMMDATEN!N40=0,"",IF(N4=0,"",IF(N4=STAMMDATEN!N45,"Mit Umstellung der MwSt werden auch die bereits angewiesene Beträge angepasst","")))</f>
      </c>
      <c r="J38" s="5" t="s">
        <v>137</v>
      </c>
      <c r="L38" s="68">
        <f>IF(N4=0,"",IF(STAMMDATEN!H20="",STAMMDATEN!F19,IF(N4&gt;=STAMMDATEN!H20,STAMMDATEN!F20,IF(N4&lt;=STAMMDATEN!H20,STAMMDATEN!F19,""))))</f>
        <v>0.15</v>
      </c>
      <c r="M38" s="386">
        <f>IF(STAMMDATEN!N40=0,"",IF(N4=0,"",IF(N4=STAMMDATEN!N45,"NEU !","")))</f>
      </c>
      <c r="N38" s="43">
        <f>IF(L38="","",IF('LPH 1-5'!X35=N4,SUM((N37*L38)+'LPH 1-5'!V35),SUM(N37*L38)))</f>
        <v>875.04696</v>
      </c>
      <c r="O38" s="70" t="str">
        <f>IF(N38=0,"",IF(STAMMDATEN!$A$21="X",STAMMDATEN!$C$21,STAMMDATEN!$C$22))</f>
        <v>€</v>
      </c>
    </row>
    <row r="39" spans="2:15" ht="12.75" customHeight="1" thickBot="1">
      <c r="B39" s="116">
        <f>IF(N38=0,"",IF(N38=STAMMDATEN!N45,"mit Ausnahme der Bereiche, die vor dem Wechsel komplett zu 100%",""))</f>
      </c>
      <c r="K39" s="63"/>
      <c r="L39" s="63" t="s">
        <v>22</v>
      </c>
      <c r="N39" s="223">
        <f>SUM(N37:N38)</f>
        <v>6708.69336</v>
      </c>
      <c r="O39" s="70" t="str">
        <f>IF(N39=0,"",IF(STAMMDATEN!$A$21="X",STAMMDATEN!$C$21,STAMMDATEN!$C$22))</f>
        <v>€</v>
      </c>
    </row>
    <row r="40" spans="1:15" ht="19.5" customHeight="1" thickTop="1">
      <c r="A40" s="202">
        <f>IF(N33&lt;=N35,"Die Rechnung weist ein Guthaben auf","")</f>
      </c>
      <c r="B40" s="116">
        <f>IF(N38=0,"",IF(N38=STAMMDATEN!N45,"abgerechnet wurden ! ",""))</f>
      </c>
      <c r="L40" s="40">
        <f>IF(STAMMDATEN!A22="X","das entspricht","")</f>
      </c>
      <c r="N40" s="69">
        <f>IF(STAMMDATEN!A22="X",(N39)/STAMMDATEN!B23,"")</f>
      </c>
      <c r="O40" s="70">
        <f>IF(N40="","",IF(STAMMDATEN!$A$22="X",STAMMDATEN!$C$21,""))</f>
      </c>
    </row>
    <row r="41" spans="3:15" ht="14.25" customHeight="1">
      <c r="C41" s="71"/>
      <c r="I41" s="72"/>
      <c r="J41" s="67">
        <f>IF(STAMMDATEN!$F$15="","","bei Zahlung innerhalb 10 Tagen nach Rechnungserhalt gewähren wir ein Skonto in Höhe von")</f>
      </c>
      <c r="K41" s="208">
        <f>IF(STAMMDATEN!$F$15="","",STAMMDATEN!$F$15)</f>
      </c>
      <c r="L41" s="209">
        <f>IF(STAMMDATEN!$F$15="","","dass entspr.")</f>
      </c>
      <c r="M41" s="72"/>
      <c r="N41" s="210">
        <f>IF(STAMMDATEN!$F$15="","",SUM(N39*K41))</f>
      </c>
      <c r="O41" s="70">
        <f>IF(N41="","",IF(STAMMDATEN!$A$21="X",STAMMDATEN!$C$21,STAMMDATEN!$C$22))</f>
      </c>
    </row>
    <row r="42" spans="1:15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1:15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2:15" ht="12.75">
      <c r="B44" s="75"/>
      <c r="C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3:15" ht="12.75">
      <c r="C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2:15" ht="12.7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1:15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1:15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1:15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1:15" ht="12.7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15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1:15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1:15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1:15" ht="12.7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1:15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1:15" ht="12.7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1:15" ht="12.7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15" ht="12.7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 ht="12.7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="75" customFormat="1" ht="12.75"/>
    <row r="66" s="75" customFormat="1" ht="12.75"/>
    <row r="67" s="75" customFormat="1" ht="12.75"/>
    <row r="68" s="75" customFormat="1" ht="12.75"/>
    <row r="69" s="75" customFormat="1" ht="12.75"/>
    <row r="70" s="75" customFormat="1" ht="12.75"/>
    <row r="71" s="75" customFormat="1" ht="12.75"/>
    <row r="72" s="75" customFormat="1" ht="12.75"/>
    <row r="73" s="75" customFormat="1" ht="12.75"/>
    <row r="74" s="75" customFormat="1" ht="12.75"/>
    <row r="75" s="75" customFormat="1" ht="12.75"/>
    <row r="76" s="75" customFormat="1" ht="12.75"/>
    <row r="77" s="75" customFormat="1" ht="12.75"/>
    <row r="78" s="75" customFormat="1" ht="12.75"/>
    <row r="79" s="75" customFormat="1" ht="12.75"/>
    <row r="80" s="75" customFormat="1" ht="12.75"/>
    <row r="81" s="75" customFormat="1" ht="12.75"/>
    <row r="82" s="75" customFormat="1" ht="12.75"/>
    <row r="83" s="75" customFormat="1" ht="12.75"/>
    <row r="84" s="75" customFormat="1" ht="12.75"/>
    <row r="85" s="75" customFormat="1" ht="12.75"/>
    <row r="86" s="75" customFormat="1" ht="12.75"/>
    <row r="87" s="75" customFormat="1" ht="12.75"/>
    <row r="88" s="75" customFormat="1" ht="12.75"/>
    <row r="89" s="75" customFormat="1" ht="12.75"/>
    <row r="90" s="75" customFormat="1" ht="12.75"/>
    <row r="91" s="75" customFormat="1" ht="12.75"/>
    <row r="92" s="75" customFormat="1" ht="12.75"/>
    <row r="93" s="75" customFormat="1" ht="12.75"/>
    <row r="94" s="75" customFormat="1" ht="12.75"/>
    <row r="95" s="75" customFormat="1" ht="12.75"/>
    <row r="96" s="75" customFormat="1" ht="12.75"/>
    <row r="97" s="75" customFormat="1" ht="12.75"/>
    <row r="98" s="75" customFormat="1" ht="12.75"/>
    <row r="99" s="75" customFormat="1" ht="12.75"/>
    <row r="100" s="75" customFormat="1" ht="12.75"/>
    <row r="101" s="75" customFormat="1" ht="12.75"/>
    <row r="102" s="75" customFormat="1" ht="12.75"/>
    <row r="103" s="75" customFormat="1" ht="12.75"/>
    <row r="104" s="75" customFormat="1" ht="12.75"/>
    <row r="105" s="75" customFormat="1" ht="12.75"/>
    <row r="106" s="75" customFormat="1" ht="12.75"/>
    <row r="107" s="75" customFormat="1" ht="12.75"/>
    <row r="108" s="75" customFormat="1" ht="12.75"/>
    <row r="109" s="75" customFormat="1" ht="12.75"/>
    <row r="110" s="75" customFormat="1" ht="12.75"/>
    <row r="111" s="75" customFormat="1" ht="12.75"/>
    <row r="112" s="75" customFormat="1" ht="12.75"/>
    <row r="113" s="75" customFormat="1" ht="12.75"/>
    <row r="114" s="75" customFormat="1" ht="12.75"/>
    <row r="115" s="75" customFormat="1" ht="12.75"/>
    <row r="116" s="75" customFormat="1" ht="12.75"/>
    <row r="117" s="75" customFormat="1" ht="12.75"/>
    <row r="118" s="75" customFormat="1" ht="12.75"/>
    <row r="119" s="75" customFormat="1" ht="12.75"/>
    <row r="120" s="75" customFormat="1" ht="12.75"/>
    <row r="121" s="75" customFormat="1" ht="12.75"/>
    <row r="122" s="75" customFormat="1" ht="12.75"/>
    <row r="123" s="75" customFormat="1" ht="12.75"/>
    <row r="124" s="75" customFormat="1" ht="12.75"/>
    <row r="125" s="75" customFormat="1" ht="12.75"/>
    <row r="126" s="75" customFormat="1" ht="12.75"/>
    <row r="127" s="75" customFormat="1" ht="12.75"/>
    <row r="128" s="75" customFormat="1" ht="12.75"/>
    <row r="129" s="75" customFormat="1" ht="12.75"/>
    <row r="130" s="75" customFormat="1" ht="12.75"/>
    <row r="131" s="75" customFormat="1" ht="12.75"/>
    <row r="132" s="75" customFormat="1" ht="12.75"/>
    <row r="133" s="75" customFormat="1" ht="12.75"/>
    <row r="134" s="75" customFormat="1" ht="12.75"/>
    <row r="135" s="75" customFormat="1" ht="12.75"/>
    <row r="136" s="75" customFormat="1" ht="12.75"/>
    <row r="137" s="75" customFormat="1" ht="12.75"/>
    <row r="138" s="75" customFormat="1" ht="12.75"/>
    <row r="139" s="75" customFormat="1" ht="12.75"/>
    <row r="140" s="75" customFormat="1" ht="12.75"/>
    <row r="141" s="75" customFormat="1" ht="12.75"/>
    <row r="142" s="75" customFormat="1" ht="12.75"/>
    <row r="143" s="75" customFormat="1" ht="12.75"/>
    <row r="144" s="75" customFormat="1" ht="12.75"/>
    <row r="145" s="75" customFormat="1" ht="12.75"/>
    <row r="146" s="75" customFormat="1" ht="12.75"/>
    <row r="147" s="75" customFormat="1" ht="12.75"/>
    <row r="148" s="75" customFormat="1" ht="12.75"/>
    <row r="149" s="75" customFormat="1" ht="12.75"/>
    <row r="150" s="75" customFormat="1" ht="12.75"/>
    <row r="151" s="75" customFormat="1" ht="12.75"/>
    <row r="152" s="75" customFormat="1" ht="12.75"/>
    <row r="153" s="75" customFormat="1" ht="12.75"/>
    <row r="154" s="75" customFormat="1" ht="12.75"/>
    <row r="155" s="75" customFormat="1" ht="12.75"/>
    <row r="156" s="75" customFormat="1" ht="12.75"/>
    <row r="157" s="75" customFormat="1" ht="12.75"/>
    <row r="158" s="75" customFormat="1" ht="12.75"/>
    <row r="159" s="75" customFormat="1" ht="12.75"/>
    <row r="160" s="75" customFormat="1" ht="12.75"/>
    <row r="161" s="75" customFormat="1" ht="12.75"/>
    <row r="162" s="75" customFormat="1" ht="12.75"/>
    <row r="163" s="75" customFormat="1" ht="12.75"/>
    <row r="164" s="75" customFormat="1" ht="12.75"/>
    <row r="165" s="75" customFormat="1" ht="12.75"/>
    <row r="166" s="75" customFormat="1" ht="12.75"/>
    <row r="167" s="75" customFormat="1" ht="12.75"/>
    <row r="168" s="75" customFormat="1" ht="12.75"/>
    <row r="169" s="75" customFormat="1" ht="12.75"/>
    <row r="170" s="75" customFormat="1" ht="12.75"/>
    <row r="171" s="75" customFormat="1" ht="12.75"/>
    <row r="172" s="75" customFormat="1" ht="12.75"/>
    <row r="173" s="75" customFormat="1" ht="12.75"/>
    <row r="174" s="75" customFormat="1" ht="12.75"/>
    <row r="175" s="75" customFormat="1" ht="12.75"/>
    <row r="176" s="75" customFormat="1" ht="12.75"/>
    <row r="177" s="75" customFormat="1" ht="12.75"/>
    <row r="178" s="75" customFormat="1" ht="12.75"/>
    <row r="179" s="75" customFormat="1" ht="12.75"/>
    <row r="180" s="75" customFormat="1" ht="12.75"/>
    <row r="181" s="75" customFormat="1" ht="12.75"/>
    <row r="182" s="75" customFormat="1" ht="12.75"/>
    <row r="183" s="75" customFormat="1" ht="12.75"/>
    <row r="184" s="75" customFormat="1" ht="12.75"/>
    <row r="185" s="75" customFormat="1" ht="12.75"/>
    <row r="186" s="75" customFormat="1" ht="12.75"/>
    <row r="187" s="75" customFormat="1" ht="12.75"/>
    <row r="188" s="75" customFormat="1" ht="12.75"/>
    <row r="189" s="75" customFormat="1" ht="12.75"/>
    <row r="190" s="75" customFormat="1" ht="12.75"/>
    <row r="191" s="75" customFormat="1" ht="12.75"/>
    <row r="192" s="75" customFormat="1" ht="12.75"/>
    <row r="193" s="75" customFormat="1" ht="12.75"/>
    <row r="194" s="75" customFormat="1" ht="12.75"/>
    <row r="195" s="75" customFormat="1" ht="12.75"/>
    <row r="196" s="75" customFormat="1" ht="12.75"/>
    <row r="197" s="75" customFormat="1" ht="12.75"/>
    <row r="198" s="75" customFormat="1" ht="12.75"/>
    <row r="199" s="75" customFormat="1" ht="12.75"/>
    <row r="200" s="75" customFormat="1" ht="12.75"/>
    <row r="201" s="75" customFormat="1" ht="12.75"/>
    <row r="202" s="75" customFormat="1" ht="12.75"/>
    <row r="203" s="75" customFormat="1" ht="12.75"/>
    <row r="204" s="75" customFormat="1" ht="12.75"/>
    <row r="205" s="75" customFormat="1" ht="12.75"/>
    <row r="206" s="75" customFormat="1" ht="12.75"/>
    <row r="207" s="75" customFormat="1" ht="12.75"/>
    <row r="208" s="75" customFormat="1" ht="12.75"/>
    <row r="209" s="75" customFormat="1" ht="12.75"/>
    <row r="210" s="75" customFormat="1" ht="12.75"/>
    <row r="211" s="75" customFormat="1" ht="12.75"/>
    <row r="212" s="75" customFormat="1" ht="12.75"/>
    <row r="213" s="75" customFormat="1" ht="12.75"/>
    <row r="214" s="75" customFormat="1" ht="12.75"/>
    <row r="215" s="75" customFormat="1" ht="12.75"/>
    <row r="216" s="75" customFormat="1" ht="12.75"/>
    <row r="217" s="75" customFormat="1" ht="12.75"/>
    <row r="218" s="75" customFormat="1" ht="12.75"/>
    <row r="219" s="75" customFormat="1" ht="12.75"/>
    <row r="220" s="75" customFormat="1" ht="12.75"/>
    <row r="221" s="75" customFormat="1" ht="12.75"/>
    <row r="222" s="75" customFormat="1" ht="12.75"/>
    <row r="223" s="75" customFormat="1" ht="12.75"/>
    <row r="224" s="75" customFormat="1" ht="12.75"/>
    <row r="225" s="75" customFormat="1" ht="12.75"/>
    <row r="226" s="75" customFormat="1" ht="12.75"/>
    <row r="227" s="75" customFormat="1" ht="12.75"/>
    <row r="228" s="75" customFormat="1" ht="12.75"/>
    <row r="229" s="75" customFormat="1" ht="12.75"/>
    <row r="230" s="75" customFormat="1" ht="12.75"/>
    <row r="231" s="75" customFormat="1" ht="12.75"/>
    <row r="232" s="75" customFormat="1" ht="12.75"/>
    <row r="233" s="75" customFormat="1" ht="12.75"/>
    <row r="234" s="75" customFormat="1" ht="12.75"/>
    <row r="235" s="75" customFormat="1" ht="12.75"/>
    <row r="236" s="75" customFormat="1" ht="12.75"/>
    <row r="237" s="75" customFormat="1" ht="12.75"/>
    <row r="238" s="75" customFormat="1" ht="12.75"/>
    <row r="239" s="75" customFormat="1" ht="12.75"/>
    <row r="240" s="75" customFormat="1" ht="12.75"/>
    <row r="241" s="75" customFormat="1" ht="12.75"/>
    <row r="242" s="75" customFormat="1" ht="12.75"/>
    <row r="243" s="75" customFormat="1" ht="12.75"/>
    <row r="244" s="75" customFormat="1" ht="12.75"/>
    <row r="245" s="75" customFormat="1" ht="12.75"/>
    <row r="246" s="75" customFormat="1" ht="12.75"/>
    <row r="247" s="75" customFormat="1" ht="12.75"/>
    <row r="248" s="75" customFormat="1" ht="12.75"/>
    <row r="249" s="75" customFormat="1" ht="12.75"/>
    <row r="250" s="75" customFormat="1" ht="12.75"/>
    <row r="251" s="75" customFormat="1" ht="12.75"/>
    <row r="252" s="75" customFormat="1" ht="12.75"/>
    <row r="253" s="75" customFormat="1" ht="12.75"/>
    <row r="254" s="75" customFormat="1" ht="12.75"/>
    <row r="255" s="75" customFormat="1" ht="12.75"/>
    <row r="256" s="75" customFormat="1" ht="12.75"/>
    <row r="257" s="75" customFormat="1" ht="12.75"/>
    <row r="258" s="75" customFormat="1" ht="12.75"/>
    <row r="259" s="75" customFormat="1" ht="12.75"/>
    <row r="260" s="75" customFormat="1" ht="12.75"/>
    <row r="261" s="75" customFormat="1" ht="12.75"/>
    <row r="262" s="75" customFormat="1" ht="12.75"/>
    <row r="263" s="75" customFormat="1" ht="12.75"/>
    <row r="264" s="75" customFormat="1" ht="12.75"/>
    <row r="265" s="75" customFormat="1" ht="12.75"/>
    <row r="266" s="75" customFormat="1" ht="12.75"/>
    <row r="267" s="75" customFormat="1" ht="12.75"/>
    <row r="268" s="75" customFormat="1" ht="12.75"/>
    <row r="269" s="75" customFormat="1" ht="12.75"/>
    <row r="270" s="75" customFormat="1" ht="12.75"/>
    <row r="271" s="75" customFormat="1" ht="12.75"/>
    <row r="272" s="75" customFormat="1" ht="12.75"/>
    <row r="273" s="75" customFormat="1" ht="12.75"/>
    <row r="274" s="75" customFormat="1" ht="12.75"/>
    <row r="275" s="75" customFormat="1" ht="12.75"/>
    <row r="276" s="75" customFormat="1" ht="12.75"/>
    <row r="277" s="75" customFormat="1" ht="12.75"/>
    <row r="278" s="75" customFormat="1" ht="12.75"/>
    <row r="279" s="75" customFormat="1" ht="12.75"/>
    <row r="280" s="75" customFormat="1" ht="12.75"/>
    <row r="281" s="75" customFormat="1" ht="12.75"/>
    <row r="282" s="75" customFormat="1" ht="12.75"/>
    <row r="283" s="75" customFormat="1" ht="12.75"/>
    <row r="284" s="75" customFormat="1" ht="12.75"/>
    <row r="285" s="75" customFormat="1" ht="12.75"/>
    <row r="286" s="75" customFormat="1" ht="12.75"/>
    <row r="287" s="75" customFormat="1" ht="12.75"/>
    <row r="288" s="75" customFormat="1" ht="12.75"/>
    <row r="289" s="75" customFormat="1" ht="12.75"/>
    <row r="290" s="75" customFormat="1" ht="12.75"/>
    <row r="291" s="75" customFormat="1" ht="12.75"/>
    <row r="292" s="75" customFormat="1" ht="12.75"/>
    <row r="293" s="75" customFormat="1" ht="12.75"/>
    <row r="294" s="75" customFormat="1" ht="12.75"/>
    <row r="295" s="75" customFormat="1" ht="12.75"/>
    <row r="296" s="75" customFormat="1" ht="12.75"/>
    <row r="297" s="75" customFormat="1" ht="12.75"/>
    <row r="298" s="75" customFormat="1" ht="12.75"/>
    <row r="299" s="75" customFormat="1" ht="12.75"/>
    <row r="300" s="75" customFormat="1" ht="12.75"/>
    <row r="301" s="75" customFormat="1" ht="12.75"/>
    <row r="302" s="75" customFormat="1" ht="12.75"/>
    <row r="303" s="75" customFormat="1" ht="12.75"/>
    <row r="304" s="75" customFormat="1" ht="12.75"/>
    <row r="305" s="75" customFormat="1" ht="12.75"/>
    <row r="306" s="75" customFormat="1" ht="12.75"/>
    <row r="307" s="75" customFormat="1" ht="12.75"/>
    <row r="308" s="75" customFormat="1" ht="12.75"/>
    <row r="309" s="75" customFormat="1" ht="12.75"/>
    <row r="310" s="75" customFormat="1" ht="12.75"/>
    <row r="311" s="75" customFormat="1" ht="12.75"/>
    <row r="312" s="75" customFormat="1" ht="12.75"/>
    <row r="313" s="75" customFormat="1" ht="12.75"/>
    <row r="314" s="75" customFormat="1" ht="12.75"/>
    <row r="315" s="75" customFormat="1" ht="12.75"/>
    <row r="316" s="75" customFormat="1" ht="12.75"/>
    <row r="317" s="75" customFormat="1" ht="12.75"/>
    <row r="318" s="75" customFormat="1" ht="12.75"/>
    <row r="319" s="75" customFormat="1" ht="12.75"/>
    <row r="320" s="75" customFormat="1" ht="12.75"/>
    <row r="321" s="75" customFormat="1" ht="12.75"/>
    <row r="322" s="75" customFormat="1" ht="12.75"/>
    <row r="323" s="75" customFormat="1" ht="12.75"/>
    <row r="324" s="75" customFormat="1" ht="12.75"/>
    <row r="325" s="75" customFormat="1" ht="12.75"/>
    <row r="326" s="75" customFormat="1" ht="12.75"/>
    <row r="327" s="75" customFormat="1" ht="12.75"/>
    <row r="328" s="75" customFormat="1" ht="12.75"/>
    <row r="329" s="75" customFormat="1" ht="12.75"/>
    <row r="330" s="75" customFormat="1" ht="12.75"/>
    <row r="331" s="75" customFormat="1" ht="12.75"/>
    <row r="332" s="75" customFormat="1" ht="12.75"/>
    <row r="333" s="75" customFormat="1" ht="12.75"/>
    <row r="334" s="75" customFormat="1" ht="12.75"/>
    <row r="335" s="75" customFormat="1" ht="12.75"/>
    <row r="336" s="75" customFormat="1" ht="12.75"/>
    <row r="337" s="75" customFormat="1" ht="12.75"/>
    <row r="338" s="75" customFormat="1" ht="12.75"/>
    <row r="339" s="75" customFormat="1" ht="12.75"/>
    <row r="340" s="75" customFormat="1" ht="12.75"/>
    <row r="341" s="75" customFormat="1" ht="12.75"/>
    <row r="342" s="75" customFormat="1" ht="12.75"/>
    <row r="343" s="75" customFormat="1" ht="12.75"/>
  </sheetData>
  <sheetProtection password="C611" sheet="1" objects="1" scenarios="1"/>
  <mergeCells count="2">
    <mergeCell ref="I17:I20"/>
    <mergeCell ref="G16:G20"/>
  </mergeCells>
  <printOptions horizontalCentered="1"/>
  <pageMargins left="0.5905511811023623" right="0.1968503937007874" top="2.362204724409449" bottom="0.19685039370078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Hubertus Tilmann</dc:creator>
  <cp:keywords/>
  <dc:description/>
  <cp:lastModifiedBy>Hubertus Tilmann</cp:lastModifiedBy>
  <cp:lastPrinted>2002-12-19T09:38:37Z</cp:lastPrinted>
  <dcterms:created xsi:type="dcterms:W3CDTF">2000-11-14T07:54:32Z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