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firstSheet="3" activeTab="4"/>
  </bookViews>
  <sheets>
    <sheet name="Tafel § 16" sheetId="1" state="hidden" r:id="rId1"/>
    <sheet name="Tafel § 17" sheetId="2" state="hidden" r:id="rId2"/>
    <sheet name="Honorar" sheetId="3" state="hidden" r:id="rId3"/>
    <sheet name="BITTE LESEN !" sheetId="4" r:id="rId4"/>
    <sheet name="STAMMDATEN" sheetId="5" r:id="rId5"/>
    <sheet name="LPH 1-4" sheetId="6" state="hidden" r:id="rId6"/>
    <sheet name="LPH 5-7" sheetId="7" state="hidden" r:id="rId7"/>
    <sheet name="LPH 8-9" sheetId="8" state="hidden" r:id="rId8"/>
    <sheet name="Anlage zur Schlussr." sheetId="9" r:id="rId9"/>
    <sheet name="RECHNUNG" sheetId="10" r:id="rId10"/>
  </sheets>
  <definedNames>
    <definedName name="_xlnm.Print_Area" localSheetId="6">'LPH 5-7'!$A:$IV</definedName>
    <definedName name="_xlnm.Print_Area" localSheetId="7">'LPH 8-9'!$A:$IV</definedName>
    <definedName name="_xlnm.Print_Area" localSheetId="9">'RECHNUNG'!$A:$IV</definedName>
    <definedName name="_xlnm.Print_Area" localSheetId="4">'STAMMDATEN'!$A:$IV</definedName>
  </definedNames>
  <calcPr fullCalcOnLoad="1"/>
</workbook>
</file>

<file path=xl/sharedStrings.xml><?xml version="1.0" encoding="utf-8"?>
<sst xmlns="http://schemas.openxmlformats.org/spreadsheetml/2006/main" count="712" uniqueCount="328">
  <si>
    <t>A</t>
  </si>
  <si>
    <t>a</t>
  </si>
  <si>
    <t>b</t>
  </si>
  <si>
    <t>b'</t>
  </si>
  <si>
    <t>c</t>
  </si>
  <si>
    <t>c'</t>
  </si>
  <si>
    <t>B</t>
  </si>
  <si>
    <t>vereinbart sind ( X )</t>
  </si>
  <si>
    <t>Zone I</t>
  </si>
  <si>
    <t>Vonsatz</t>
  </si>
  <si>
    <t>Zone II</t>
  </si>
  <si>
    <t>Viertelsatz</t>
  </si>
  <si>
    <t>Zone III</t>
  </si>
  <si>
    <t>Mittelsatz</t>
  </si>
  <si>
    <t>Zone V</t>
  </si>
  <si>
    <t>Dreiviertelsatz</t>
  </si>
  <si>
    <t>Zone IV</t>
  </si>
  <si>
    <t>Bissatz</t>
  </si>
  <si>
    <t>Abrechnung in</t>
  </si>
  <si>
    <t>Honorarabrechnung</t>
  </si>
  <si>
    <t>Gebäude</t>
  </si>
  <si>
    <t>raumbildende Ausbauten</t>
  </si>
  <si>
    <t>Freianlagen</t>
  </si>
  <si>
    <t>Projekt:</t>
  </si>
  <si>
    <t>Grundlagenermittlung</t>
  </si>
  <si>
    <t>Vorplanung</t>
  </si>
  <si>
    <t>Entwurfsplanung</t>
  </si>
  <si>
    <t>Ausführungsplanung</t>
  </si>
  <si>
    <t>Vorbereitung der Vergabe</t>
  </si>
  <si>
    <t>Mitwirkung bei der Vergabe</t>
  </si>
  <si>
    <t>Objektüberwachung</t>
  </si>
  <si>
    <t>Objektbetreuung und Dokumentation</t>
  </si>
  <si>
    <t>MwSt</t>
  </si>
  <si>
    <t>Rechnungsbetrag</t>
  </si>
  <si>
    <t>Honorarermittlung für</t>
  </si>
  <si>
    <t>Bauvorhaben:</t>
  </si>
  <si>
    <t>Herr</t>
  </si>
  <si>
    <t>Anrede:</t>
  </si>
  <si>
    <t>Justus Müller</t>
  </si>
  <si>
    <t>Wendeplatte 19</t>
  </si>
  <si>
    <t>70711 Stuttgart</t>
  </si>
  <si>
    <t>00-2599</t>
  </si>
  <si>
    <t>Baustelle:</t>
  </si>
  <si>
    <t>Plz. / Ort:</t>
  </si>
  <si>
    <t>Name:</t>
  </si>
  <si>
    <t>Ort / Strasse:</t>
  </si>
  <si>
    <t>Reutlingen / Steinenbergstrasse 35</t>
  </si>
  <si>
    <t>nach HOAI § 16</t>
  </si>
  <si>
    <t>nach HOAI § 17</t>
  </si>
  <si>
    <t>Genehmigungsplanung</t>
  </si>
  <si>
    <t>AZ</t>
  </si>
  <si>
    <t>Datum</t>
  </si>
  <si>
    <t>Nebenkosten</t>
  </si>
  <si>
    <t>Gruppe 1</t>
  </si>
  <si>
    <t>Gruppe 2</t>
  </si>
  <si>
    <t>Gruppe 3</t>
  </si>
  <si>
    <t>Gesamt</t>
  </si>
  <si>
    <t>Anteil</t>
  </si>
  <si>
    <t>Tafel  A</t>
  </si>
  <si>
    <t>Projekt-Nr.:</t>
  </si>
  <si>
    <t>Bauherrschaft:</t>
  </si>
  <si>
    <t>für:</t>
  </si>
  <si>
    <t>Veränderung</t>
  </si>
  <si>
    <t>Proj.- /Rechn.-Nr.:</t>
  </si>
  <si>
    <t>Einfamilienwohnhaus</t>
  </si>
  <si>
    <t>D</t>
  </si>
  <si>
    <t>daraus Honorar</t>
  </si>
  <si>
    <t>C</t>
  </si>
  <si>
    <t xml:space="preserve">A </t>
  </si>
  <si>
    <t>Nr.</t>
  </si>
  <si>
    <t>vereinbarter Honorarsatz:</t>
  </si>
  <si>
    <t>ZONE</t>
  </si>
  <si>
    <t>vereinbarte Honorarzone:</t>
  </si>
  <si>
    <t>Kostenschätzung</t>
  </si>
  <si>
    <t>Kostenberechnung</t>
  </si>
  <si>
    <t>Kostenanschlag</t>
  </si>
  <si>
    <t>Kostenfeststellung</t>
  </si>
  <si>
    <t>lt. Vertrag vom:</t>
  </si>
  <si>
    <t>abzurechnende Leistungen lt. Vertrag vom:</t>
  </si>
  <si>
    <t>daraus erbrachte Leistung</t>
  </si>
  <si>
    <t>1-4</t>
  </si>
  <si>
    <t>5-7</t>
  </si>
  <si>
    <t>von</t>
  </si>
  <si>
    <t>bis</t>
  </si>
  <si>
    <t>Honorarzone I</t>
  </si>
  <si>
    <t>nächstniedr.</t>
  </si>
  <si>
    <t>Baukosten</t>
  </si>
  <si>
    <t>GL</t>
  </si>
  <si>
    <t>Nebenkosten ( NK )</t>
  </si>
  <si>
    <t>Punkte</t>
  </si>
  <si>
    <t>Summe</t>
  </si>
  <si>
    <t>Punkteermittlung</t>
  </si>
  <si>
    <t>Honorar</t>
  </si>
  <si>
    <t>davon Technik</t>
  </si>
  <si>
    <t xml:space="preserve">z.B.( 3% ) eintragen </t>
  </si>
  <si>
    <t>wenn</t>
  </si>
  <si>
    <t>INTERN !</t>
  </si>
  <si>
    <t>SATZ</t>
  </si>
  <si>
    <t>( X )</t>
  </si>
  <si>
    <t>Grundleistungen ( GL ) nach HOAI § 15</t>
  </si>
  <si>
    <t>%</t>
  </si>
  <si>
    <t>nächsthöh.</t>
  </si>
  <si>
    <t>NK</t>
  </si>
  <si>
    <t>Strasse / Nr.:</t>
  </si>
  <si>
    <t>bitte bei Schriftverkehr und Zahlungen angeben</t>
  </si>
  <si>
    <t>vom</t>
  </si>
  <si>
    <t>Ges.</t>
  </si>
  <si>
    <t>Grundleistung</t>
  </si>
  <si>
    <t>wenn Skontovereinbarung</t>
  </si>
  <si>
    <t>über</t>
  </si>
  <si>
    <t>wenn &gt; 25% der Bausumme nach HOAI § 10 ( 4 )</t>
  </si>
  <si>
    <t>Zuschlag</t>
  </si>
  <si>
    <t>HO</t>
  </si>
  <si>
    <t>Zuschläge ( ZU )</t>
  </si>
  <si>
    <t>ZU</t>
  </si>
  <si>
    <t>bei Rechnungsstellung müssen</t>
  </si>
  <si>
    <t>die jeweiligen Kostenermittlungen</t>
  </si>
  <si>
    <t>ausgefüllt sein !</t>
  </si>
  <si>
    <t>Leistungsbild nach HOAI § 15</t>
  </si>
  <si>
    <t>Honorar ohne</t>
  </si>
  <si>
    <t>zur Anrechnung</t>
  </si>
  <si>
    <t>Schlussrechnung</t>
  </si>
  <si>
    <t>Abrechnung der Leistungphase 9</t>
  </si>
  <si>
    <t>Kosten für Installationen, zentrale Betriebstechnik und betriebliche Einbauten ( Technik )</t>
  </si>
  <si>
    <t xml:space="preserve">Für die Schlussrechnung müssen die Kostenermittlungen B, C und D ausgefüllt sein. </t>
  </si>
  <si>
    <t>Wenn besondere Leistungen ( BL ) nach HOAI § 15 vereinbart sind, bitte gesondert abrechnen !</t>
  </si>
  <si>
    <t>Liegen die Zahlen z.B. für D nicht vor sollten hier die Angaben von C übernommen werden.</t>
  </si>
  <si>
    <t>wenn beauftragr erfolgt Abrechnung ab Schlussrechnung</t>
  </si>
  <si>
    <t>ab Datum</t>
  </si>
  <si>
    <t>incl. 50% der Leistungsph. 9</t>
  </si>
  <si>
    <t>€</t>
  </si>
  <si>
    <t>Leistungsphasen</t>
  </si>
  <si>
    <t>1 - 4</t>
  </si>
  <si>
    <t>5 - 7</t>
  </si>
  <si>
    <t>8</t>
  </si>
  <si>
    <t>Summe ohne Nebenkosten</t>
  </si>
  <si>
    <t>Summe incl. Nebenkosten</t>
  </si>
  <si>
    <t>daraus errechnete Honorare für Grundleistungen</t>
  </si>
  <si>
    <t>kommen incl.</t>
  </si>
  <si>
    <t>separat abgerechnet werden !</t>
  </si>
  <si>
    <t>Prozente von begonnenen Leistungsphasen bis zur letzten AZ weiter geführt wird !</t>
  </si>
  <si>
    <t>Korrekturbetrag</t>
  </si>
  <si>
    <t>nur gültig mit der aktuellen</t>
  </si>
  <si>
    <t>Zahlungsanforderung !</t>
  </si>
  <si>
    <t>Danach bitte löschen !</t>
  </si>
  <si>
    <t>aktuell &gt;&gt;&gt;&gt;&gt;</t>
  </si>
  <si>
    <t>Datum / Zeichen:</t>
  </si>
  <si>
    <t>die Zahlungsanforderung bearbeitet ( Kürzel ):</t>
  </si>
  <si>
    <t>til</t>
  </si>
  <si>
    <t>Tafel  B</t>
  </si>
  <si>
    <t>z.B.( 6% ) eintragen, wenn hier</t>
  </si>
  <si>
    <t>kein Eintrag erfolgt</t>
  </si>
  <si>
    <t>müssen die Nebenkosten</t>
  </si>
  <si>
    <t>Netto 1</t>
  </si>
  <si>
    <t>Netto 2</t>
  </si>
  <si>
    <t>Tafel  C1</t>
  </si>
  <si>
    <t>Tafel  C2</t>
  </si>
  <si>
    <t>Abzug</t>
  </si>
  <si>
    <t>Tafel  C3</t>
  </si>
  <si>
    <t>Nettobaukosten</t>
  </si>
  <si>
    <t>Objektbetreung und Dokumentation</t>
  </si>
  <si>
    <t>Kosten</t>
  </si>
  <si>
    <t>nach</t>
  </si>
  <si>
    <t>SU</t>
  </si>
  <si>
    <t>anteilig&gt;&gt;&gt;</t>
  </si>
  <si>
    <t>Kontrolle</t>
  </si>
  <si>
    <t>Maximal</t>
  </si>
  <si>
    <t>Rechnung&gt;&gt;&gt;&gt;&gt;&gt;</t>
  </si>
  <si>
    <t>beauftragt in %</t>
  </si>
  <si>
    <t>beauftragt zu --%</t>
  </si>
  <si>
    <t>MAX</t>
  </si>
  <si>
    <t>davon beauftragt</t>
  </si>
  <si>
    <t>daraus Kosten für Technik</t>
  </si>
  <si>
    <t>Leistungsphasen (LPH)</t>
  </si>
  <si>
    <t>= %</t>
  </si>
  <si>
    <t>veränderte Nettobaukosten</t>
  </si>
  <si>
    <t>wennTechnik &gt; = 25 %</t>
  </si>
  <si>
    <t>Bruttosumme</t>
  </si>
  <si>
    <t>Honorar nach § 15</t>
  </si>
  <si>
    <t>die zum Zeitpunkt der Rechnungsstellung gültige MwSt für vorgenannte Leistungen beträgt</t>
  </si>
  <si>
    <t>Grundlagen-ermittlung</t>
  </si>
  <si>
    <t>Leistungsphasen beauftragt</t>
  </si>
  <si>
    <t>für</t>
  </si>
  <si>
    <r>
      <t xml:space="preserve">Zuschlag </t>
    </r>
    <r>
      <rPr>
        <b/>
        <sz val="10"/>
        <rFont val="Arial"/>
        <family val="2"/>
      </rPr>
      <t>( ZU )</t>
    </r>
  </si>
  <si>
    <r>
      <t xml:space="preserve">Nebenkosten </t>
    </r>
    <r>
      <rPr>
        <b/>
        <sz val="10"/>
        <rFont val="Arial"/>
        <family val="2"/>
      </rPr>
      <t>( NK )</t>
    </r>
  </si>
  <si>
    <t>Leistungsbild</t>
  </si>
  <si>
    <t>vereinbart sind:</t>
  </si>
  <si>
    <t>Zone:</t>
  </si>
  <si>
    <t>Satz:</t>
  </si>
  <si>
    <t>Honorarabrechnung für</t>
  </si>
  <si>
    <t>in Übersicht</t>
  </si>
  <si>
    <t>Aufgestellt:</t>
  </si>
  <si>
    <t>LPH 1-4</t>
  </si>
  <si>
    <t>LPH 5-7</t>
  </si>
  <si>
    <t>LPH 8-9</t>
  </si>
  <si>
    <t>Zusammnenstellung</t>
  </si>
  <si>
    <r>
      <t xml:space="preserve">Grundleistungen               </t>
    </r>
    <r>
      <rPr>
        <b/>
        <sz val="8"/>
        <rFont val="Arial"/>
        <family val="2"/>
      </rPr>
      <t>ohne Nebenkosten</t>
    </r>
  </si>
  <si>
    <t>Gesamthonorar</t>
  </si>
  <si>
    <t>Gesamtsumme brutto:</t>
  </si>
  <si>
    <r>
      <t xml:space="preserve"> aus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 anteilig   LPH. 1-4</t>
    </r>
  </si>
  <si>
    <t>GL Ges.</t>
  </si>
  <si>
    <t>incl. Zuschlag</t>
  </si>
  <si>
    <t>incl. Nebenkosten</t>
  </si>
  <si>
    <t>Entwurfs-planung</t>
  </si>
  <si>
    <t>Genehm.-planung</t>
  </si>
  <si>
    <t>+</t>
  </si>
  <si>
    <t>Mitwirkung b.d.Vergabe</t>
  </si>
  <si>
    <t>Ausführungs -Planung</t>
  </si>
  <si>
    <t>Objektüber-wachung</t>
  </si>
  <si>
    <t>Obj.-betr.und Dokument.</t>
  </si>
  <si>
    <t>bitte Datum eintragen!</t>
  </si>
  <si>
    <t>darin enthalten sind</t>
  </si>
  <si>
    <t>Veränderung wenn Auftrag &lt; = 100%</t>
  </si>
  <si>
    <t>aus Netto 2</t>
  </si>
  <si>
    <r>
      <t xml:space="preserve"> aus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 anteilig   LPH. 5-7</t>
    </r>
  </si>
  <si>
    <r>
      <t xml:space="preserve"> aus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 anteilig   LPH. 8-9</t>
    </r>
  </si>
  <si>
    <t>Gesamt ohne Zuschläge</t>
  </si>
  <si>
    <t>die Zahlung sollte 10 Tage</t>
  </si>
  <si>
    <t>nach Rechnungseingang erfolgen</t>
  </si>
  <si>
    <t>Bei Eingabe der AZ-Nr.und dem Datum ist darauf zu achten, dass die Eintragungen der</t>
  </si>
  <si>
    <t>MwSt für Abrechnung</t>
  </si>
  <si>
    <t>anteilig o. ZU</t>
  </si>
  <si>
    <t>daraus erbrachte Leistung. ( 1 - 100% )</t>
  </si>
  <si>
    <t>Max</t>
  </si>
  <si>
    <t>Differenz</t>
  </si>
  <si>
    <t xml:space="preserve">  Mwst </t>
  </si>
  <si>
    <t>A &gt;&gt;</t>
  </si>
  <si>
    <t>B &gt;&gt;</t>
  </si>
  <si>
    <t>C &gt;&gt;</t>
  </si>
  <si>
    <t>=</t>
  </si>
  <si>
    <t>am</t>
  </si>
  <si>
    <t>der MwSt</t>
  </si>
  <si>
    <t>Wechsel MwSt in Zahlung</t>
  </si>
  <si>
    <t>Erreichung 100% in AZ</t>
  </si>
  <si>
    <t xml:space="preserve">Schlussrechnung </t>
  </si>
  <si>
    <t>Währunsbezeichnung</t>
  </si>
  <si>
    <t>DM</t>
  </si>
  <si>
    <t>Umstellung</t>
  </si>
  <si>
    <t>Abz.</t>
  </si>
  <si>
    <t>= Umrechnugsfaktor ggf. ändern!</t>
  </si>
  <si>
    <t>Zone 1</t>
  </si>
  <si>
    <t>Zone 2</t>
  </si>
  <si>
    <t>Zone 3</t>
  </si>
  <si>
    <t>Zone 4</t>
  </si>
  <si>
    <t>Zone 5</t>
  </si>
  <si>
    <t>Bewertung</t>
  </si>
  <si>
    <t>§</t>
  </si>
  <si>
    <t>Nach HOAI §</t>
  </si>
  <si>
    <t>Tafel § 16</t>
  </si>
  <si>
    <t>Tafel § 17</t>
  </si>
  <si>
    <t>Bebäude</t>
  </si>
  <si>
    <t>§ 16</t>
  </si>
  <si>
    <t>Betrag</t>
  </si>
  <si>
    <t>raumb.Ausb.</t>
  </si>
  <si>
    <t>§16</t>
  </si>
  <si>
    <t>Vobereitung der Vergabe</t>
  </si>
  <si>
    <t>aktuell</t>
  </si>
  <si>
    <t>(X) wenn in</t>
  </si>
  <si>
    <t xml:space="preserve">Faktor DM &lt;&gt; €  </t>
  </si>
  <si>
    <t>a = tatsächliche Kosten</t>
  </si>
  <si>
    <t>a' = tatsächliches Honorar</t>
  </si>
  <si>
    <t>b = nächstniedr. Kosten</t>
  </si>
  <si>
    <t>b' = nächstniedr. Honorar</t>
  </si>
  <si>
    <t>c = nächsthöhere Kosten</t>
  </si>
  <si>
    <t>c' = nächsthöheres Honorar</t>
  </si>
  <si>
    <t>max 38 Zeichen incl. Leerzeichen</t>
  </si>
  <si>
    <t>Steuercode</t>
  </si>
  <si>
    <t xml:space="preserve">1 </t>
  </si>
  <si>
    <t>2</t>
  </si>
  <si>
    <t>2 - 3</t>
  </si>
  <si>
    <t>1 - 2</t>
  </si>
  <si>
    <t>1 - 3</t>
  </si>
  <si>
    <t>3</t>
  </si>
  <si>
    <t>2 = 30</t>
  </si>
  <si>
    <t>1 = 25</t>
  </si>
  <si>
    <t>3 = 35</t>
  </si>
  <si>
    <t>Schlussr.</t>
  </si>
  <si>
    <t xml:space="preserve">AZ </t>
  </si>
  <si>
    <t xml:space="preserve">Schlussr. + Lph 9 </t>
  </si>
  <si>
    <t>= Steuercode in Tabelle "Rechnung", Zelle A/38</t>
  </si>
  <si>
    <t>Umstellung der MwSt:</t>
  </si>
  <si>
    <t>daraus Honorar&gt;</t>
  </si>
  <si>
    <t>L.-Ph. 2 bzw. 3</t>
  </si>
  <si>
    <t>verändert &gt;</t>
  </si>
  <si>
    <t>aktuell &gt;&gt;&gt;&gt;</t>
  </si>
  <si>
    <t>Steigerung der Beauftragung bis</t>
  </si>
  <si>
    <t>§ 20 mehrere Vor- oder Entwursplanungen</t>
  </si>
  <si>
    <t>alle L.-Ph.</t>
  </si>
  <si>
    <t>(+/-) Netto</t>
  </si>
  <si>
    <t>max + 50% / Entwurf !</t>
  </si>
  <si>
    <t>Grundleistungen</t>
  </si>
  <si>
    <r>
      <t xml:space="preserve">abgerechnet werden soll </t>
    </r>
    <r>
      <rPr>
        <b/>
        <vertAlign val="superscript"/>
        <sz val="8"/>
        <color indexed="10"/>
        <rFont val="Arial"/>
        <family val="2"/>
      </rPr>
      <t>(1)</t>
    </r>
  </si>
  <si>
    <r>
      <t>(1)</t>
    </r>
    <r>
      <rPr>
        <b/>
        <sz val="8"/>
        <color indexed="10"/>
        <rFont val="Arial"/>
        <family val="2"/>
      </rPr>
      <t xml:space="preserve">  Das DM-Ergebnis weicht ca. 0,5% - 1% von der Tabelle ab !</t>
    </r>
  </si>
  <si>
    <t>§ 22: Auftrag für mehrere, im wesentlichen gleichartige, Gebäude</t>
  </si>
  <si>
    <t>zu</t>
  </si>
  <si>
    <t>nach HOAI § 10 (4) und § 22</t>
  </si>
  <si>
    <t>Faktor</t>
  </si>
  <si>
    <t>Grundhonorar</t>
  </si>
  <si>
    <t>Bei 100% Beauftrag.</t>
  </si>
  <si>
    <t>&gt;&gt;</t>
  </si>
  <si>
    <t>wenn § 22, Anzahl der Gebäude</t>
  </si>
  <si>
    <t>&gt;&gt;&gt;</t>
  </si>
  <si>
    <t>L-Ph 1-4</t>
  </si>
  <si>
    <t>L-Ph 5-7</t>
  </si>
  <si>
    <t>L-Ph 8-9</t>
  </si>
  <si>
    <t xml:space="preserve">§ 22: Auftrag für mehrere, im wesentlichen gleichartige, Gebäude. </t>
  </si>
  <si>
    <t>Wenn zutreffend, in die folgenden Kostenermttlungen die Summe für 1 Gebäude eintragen !</t>
  </si>
  <si>
    <t>Gebäude 1</t>
  </si>
  <si>
    <t>Gebäude 2-5</t>
  </si>
  <si>
    <t>es werden abgerechnet</t>
  </si>
  <si>
    <t>Gebäude 6-X</t>
  </si>
  <si>
    <t>Anz. Gebäude</t>
  </si>
  <si>
    <t>wenn § 22</t>
  </si>
  <si>
    <r>
      <t>aus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A</t>
    </r>
  </si>
  <si>
    <r>
      <t>aus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B</t>
    </r>
  </si>
  <si>
    <r>
      <t>aus</t>
    </r>
    <r>
      <rPr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B</t>
    </r>
  </si>
  <si>
    <r>
      <t>aus</t>
    </r>
    <r>
      <rPr>
        <sz val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C</t>
    </r>
  </si>
  <si>
    <r>
      <t>aus</t>
    </r>
    <r>
      <rPr>
        <sz val="10"/>
        <rFont val="Arial"/>
        <family val="2"/>
      </rPr>
      <t xml:space="preserve"> </t>
    </r>
    <r>
      <rPr>
        <b/>
        <sz val="10"/>
        <color indexed="60"/>
        <rFont val="Arial"/>
        <family val="2"/>
      </rPr>
      <t>D</t>
    </r>
  </si>
  <si>
    <t>Nebenkosten (NK)</t>
  </si>
  <si>
    <t xml:space="preserve">anrechenbare Nettobaukosten lt. Kostenermittlungen gem. HOAI § 10 </t>
  </si>
  <si>
    <t>Umbauzuschlag (ZU) gem. § 24 HOAI</t>
  </si>
  <si>
    <t>Projekt-Nummer:</t>
  </si>
  <si>
    <t>Datum für vorzeitige Abrechnung</t>
  </si>
  <si>
    <t>Datum der Schlussrechnung</t>
  </si>
  <si>
    <t>v16-6</t>
  </si>
  <si>
    <t xml:space="preserve">Sie können diese Demoversion auf ihre Funktionen testen. </t>
  </si>
  <si>
    <t>Einschränkungen gelten für die zu berechnenden Summen der 4 Kostenermittlungen.</t>
  </si>
  <si>
    <t>Summen &gt;= 250.000,-- € werden in dieser Version nicht berechnet!</t>
  </si>
</sst>
</file>

<file path=xl/styles.xml><?xml version="1.0" encoding="utf-8"?>
<styleSheet xmlns="http://schemas.openxmlformats.org/spreadsheetml/2006/main">
  <numFmts count="6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HAUS&quot;\ 0"/>
    <numFmt numFmtId="174" formatCode="0.00000\ &quot; &quot;"/>
    <numFmt numFmtId="175" formatCode="0.00000\ &quot;DM &quot;"/>
    <numFmt numFmtId="176" formatCode="#,##0.00_ ;[Red]\-#,##0.00\ "/>
    <numFmt numFmtId="177" formatCode="#,##0.00&quot;DM&quot;"/>
    <numFmt numFmtId="178" formatCode="#,##0.00\ &quot;DM&quot;"/>
    <numFmt numFmtId="179" formatCode="0&quot;.&quot;"/>
    <numFmt numFmtId="180" formatCode="0&quot;. AZ&quot;"/>
    <numFmt numFmtId="181" formatCode="yyyy\-mm\-dd"/>
    <numFmt numFmtId="182" formatCode="&quot;-&quot;\ \ 0"/>
    <numFmt numFmtId="183" formatCode="&quot;-&quot;\ 0"/>
    <numFmt numFmtId="184" formatCode="d/m/yy\ h:mm"/>
    <numFmt numFmtId="185" formatCode="0.00000000%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0.000000000%"/>
    <numFmt numFmtId="195" formatCode="dd/\ mmm\ yyyy"/>
    <numFmt numFmtId="196" formatCode="00"/>
    <numFmt numFmtId="197" formatCode="&quot;/&quot;"/>
    <numFmt numFmtId="198" formatCode="&quot;/&quot;###"/>
    <numFmt numFmtId="199" formatCode="dd/mm/yy"/>
    <numFmt numFmtId="200" formatCode="0.00_ ;\-0.00\ "/>
    <numFmt numFmtId="201" formatCode="&quot;=&quot;\ 0.00"/>
    <numFmt numFmtId="202" formatCode="dd\ mm\ yy"/>
    <numFmt numFmtId="203" formatCode="dd\ mm\ yyyy"/>
    <numFmt numFmtId="204" formatCode="&quot;=&quot;\ 0,000.00"/>
    <numFmt numFmtId="205" formatCode="0_ ;[Red]\-0\ "/>
    <numFmt numFmtId="206" formatCode="0.0"/>
    <numFmt numFmtId="207" formatCode="0_ ;\-0\ "/>
    <numFmt numFmtId="208" formatCode="&quot;+&quot;\ #,##0.00"/>
    <numFmt numFmtId="209" formatCode="&quot;Summe L-Ph&quot;\ 0"/>
    <numFmt numFmtId="210" formatCode="&quot;Su L-Ph =&quot;\ 0"/>
    <numFmt numFmtId="211" formatCode="&quot;Su. L-Ph =&quot;\ 0"/>
    <numFmt numFmtId="212" formatCode="&quot;-&quot;\ 0%"/>
    <numFmt numFmtId="213" formatCode="0000"/>
    <numFmt numFmtId="214" formatCode="&quot;für&quot;\ 0\ &quot;Gebäude&quot;"/>
    <numFmt numFmtId="215" formatCode="&quot;€ für&quot;\ 0\ &quot;Gebäude&quot;"/>
  </numFmts>
  <fonts count="67">
    <font>
      <sz val="10"/>
      <name val="Arial"/>
      <family val="0"/>
    </font>
    <font>
      <sz val="8"/>
      <name val="UniversCond"/>
      <family val="2"/>
    </font>
    <font>
      <sz val="8"/>
      <name val="UniversCondLight"/>
      <family val="0"/>
    </font>
    <font>
      <sz val="8"/>
      <color indexed="10"/>
      <name val="UniversCondLight"/>
      <family val="2"/>
    </font>
    <font>
      <sz val="8.5"/>
      <name val="MS Sans Serif"/>
      <family val="2"/>
    </font>
    <font>
      <b/>
      <sz val="8.5"/>
      <color indexed="10"/>
      <name val="MS Sans Serif"/>
      <family val="2"/>
    </font>
    <font>
      <sz val="10"/>
      <name val="MS Sans Serif"/>
      <family val="2"/>
    </font>
    <font>
      <b/>
      <sz val="8.5"/>
      <name val="MS Sans Serif"/>
      <family val="2"/>
    </font>
    <font>
      <b/>
      <sz val="8.5"/>
      <color indexed="18"/>
      <name val="MS Sans Serif"/>
      <family val="2"/>
    </font>
    <font>
      <sz val="10"/>
      <name val="Post Antiqua BE Regular"/>
      <family val="2"/>
    </font>
    <font>
      <sz val="6"/>
      <name val="MS Sans Serif"/>
      <family val="2"/>
    </font>
    <font>
      <b/>
      <sz val="8.5"/>
      <color indexed="17"/>
      <name val="MS Sans Serif"/>
      <family val="2"/>
    </font>
    <font>
      <b/>
      <sz val="8.5"/>
      <color indexed="60"/>
      <name val="MS Sans Serif"/>
      <family val="2"/>
    </font>
    <font>
      <b/>
      <sz val="8.5"/>
      <color indexed="9"/>
      <name val="MS Sans Serif"/>
      <family val="2"/>
    </font>
    <font>
      <sz val="13.5"/>
      <name val="MS Sans Serif"/>
      <family val="2"/>
    </font>
    <font>
      <sz val="8.5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b/>
      <sz val="12"/>
      <color indexed="43"/>
      <name val="Arial"/>
      <family val="2"/>
    </font>
    <font>
      <b/>
      <sz val="12"/>
      <name val="Arial"/>
      <family val="2"/>
    </font>
    <font>
      <b/>
      <sz val="13.5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8.5"/>
      <color indexed="12"/>
      <name val="Arial"/>
      <family val="2"/>
    </font>
    <font>
      <b/>
      <sz val="8"/>
      <name val="Arial"/>
      <family val="2"/>
    </font>
    <font>
      <b/>
      <sz val="8.5"/>
      <color indexed="5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.5"/>
      <color indexed="10"/>
      <name val="Arial"/>
      <family val="2"/>
    </font>
    <font>
      <i/>
      <sz val="8.5"/>
      <name val="Arial"/>
      <family val="2"/>
    </font>
    <font>
      <sz val="8"/>
      <name val="Times New Roman"/>
      <family val="1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sz val="6"/>
      <color indexed="12"/>
      <name val="Arial"/>
      <family val="2"/>
    </font>
    <font>
      <sz val="8.5"/>
      <color indexed="50"/>
      <name val="Arial"/>
      <family val="2"/>
    </font>
    <font>
      <sz val="8"/>
      <color indexed="10"/>
      <name val="Arial"/>
      <family val="2"/>
    </font>
    <font>
      <b/>
      <sz val="8.5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6"/>
      <color indexed="47"/>
      <name val="Arial"/>
      <family val="2"/>
    </font>
    <font>
      <b/>
      <vertAlign val="superscript"/>
      <sz val="8"/>
      <color indexed="10"/>
      <name val="Arial"/>
      <family val="2"/>
    </font>
    <font>
      <b/>
      <sz val="8"/>
      <color indexed="57"/>
      <name val="Arial"/>
      <family val="2"/>
    </font>
    <font>
      <sz val="10"/>
      <color indexed="9"/>
      <name val="Arial"/>
      <family val="2"/>
    </font>
    <font>
      <sz val="8.5"/>
      <color indexed="9"/>
      <name val="Arial"/>
      <family val="2"/>
    </font>
    <font>
      <sz val="6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44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8"/>
      <color indexed="9"/>
      <name val="Arial"/>
      <family val="2"/>
    </font>
    <font>
      <sz val="8"/>
      <color indexed="40"/>
      <name val="Arial"/>
      <family val="2"/>
    </font>
    <font>
      <sz val="8"/>
      <color indexed="52"/>
      <name val="Arial"/>
      <family val="2"/>
    </font>
    <font>
      <sz val="8.5"/>
      <color indexed="52"/>
      <name val="Arial"/>
      <family val="2"/>
    </font>
    <font>
      <sz val="8"/>
      <color indexed="50"/>
      <name val="Arial"/>
      <family val="2"/>
    </font>
    <font>
      <sz val="48"/>
      <color indexed="23"/>
      <name val="Swis721 BlkOul BT"/>
      <family val="5"/>
    </font>
    <font>
      <sz val="14"/>
      <name val="Arial"/>
      <family val="2"/>
    </font>
    <font>
      <u val="single"/>
      <sz val="14"/>
      <name val="Arial"/>
      <family val="2"/>
    </font>
    <font>
      <sz val="20"/>
      <color indexed="55"/>
      <name val="Swis721 BlkOul BT"/>
      <family val="5"/>
    </font>
  </fonts>
  <fills count="2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2"/>
      </bottom>
    </border>
    <border>
      <left>
        <color indexed="63"/>
      </left>
      <right>
        <color indexed="63"/>
      </right>
      <top style="hair">
        <color indexed="62"/>
      </top>
      <bottom>
        <color indexed="63"/>
      </bottom>
    </border>
    <border>
      <left style="thin">
        <color indexed="62"/>
      </left>
      <right style="hair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hair">
        <color indexed="62"/>
      </right>
      <top style="hair">
        <color indexed="62"/>
      </top>
      <bottom style="hair">
        <color indexed="62"/>
      </bottom>
    </border>
    <border>
      <left>
        <color indexed="63"/>
      </left>
      <right style="hair">
        <color indexed="62"/>
      </right>
      <top>
        <color indexed="63"/>
      </top>
      <bottom style="hair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hair">
        <color indexed="62"/>
      </left>
      <right style="hair">
        <color indexed="62"/>
      </right>
      <top style="hair">
        <color indexed="62"/>
      </top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 style="hair">
        <color indexed="62"/>
      </top>
      <bottom>
        <color indexed="63"/>
      </bottom>
    </border>
    <border>
      <left>
        <color indexed="63"/>
      </left>
      <right style="hair">
        <color indexed="62"/>
      </right>
      <top style="hair">
        <color indexed="62"/>
      </top>
      <bottom>
        <color indexed="63"/>
      </bottom>
    </border>
    <border>
      <left>
        <color indexed="63"/>
      </left>
      <right>
        <color indexed="63"/>
      </right>
      <top style="hair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 style="hair">
        <color indexed="62"/>
      </top>
      <bottom style="double">
        <color indexed="62"/>
      </bottom>
    </border>
    <border>
      <left style="hair">
        <color indexed="14"/>
      </left>
      <right>
        <color indexed="63"/>
      </right>
      <top style="hair">
        <color indexed="14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4"/>
      </bottom>
    </border>
    <border>
      <left style="thin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62"/>
      </left>
      <right style="hair">
        <color indexed="62"/>
      </right>
      <top>
        <color indexed="63"/>
      </top>
      <bottom style="thin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14"/>
      </bottom>
    </border>
    <border>
      <left style="hair">
        <color indexed="14"/>
      </left>
      <right style="hair">
        <color indexed="14"/>
      </right>
      <top style="hair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62"/>
      </left>
      <right style="hair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>
        <color indexed="63"/>
      </right>
      <top style="hair"/>
      <bottom style="double"/>
    </border>
    <border>
      <left style="hair">
        <color indexed="62"/>
      </left>
      <right>
        <color indexed="63"/>
      </right>
      <top>
        <color indexed="63"/>
      </top>
      <bottom style="hair">
        <color indexed="62"/>
      </bottom>
    </border>
    <border>
      <left style="hair">
        <color indexed="30"/>
      </left>
      <right style="hair">
        <color indexed="30"/>
      </right>
      <top style="hair">
        <color indexed="30"/>
      </top>
      <bottom>
        <color indexed="63"/>
      </bottom>
    </border>
    <border>
      <left style="thin">
        <color indexed="62"/>
      </left>
      <right>
        <color indexed="63"/>
      </right>
      <top style="hair">
        <color indexed="14"/>
      </top>
      <bottom style="hair">
        <color indexed="14"/>
      </bottom>
    </border>
    <border>
      <left style="hair">
        <color indexed="62"/>
      </left>
      <right>
        <color indexed="63"/>
      </right>
      <top style="hair">
        <color indexed="62"/>
      </top>
      <bottom>
        <color indexed="63"/>
      </bottom>
    </border>
    <border>
      <left style="hair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2"/>
      </right>
      <top>
        <color indexed="63"/>
      </top>
      <bottom>
        <color indexed="63"/>
      </bottom>
    </border>
    <border>
      <left style="hair">
        <color indexed="62"/>
      </left>
      <right style="hair">
        <color indexed="14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hair">
        <color indexed="14"/>
      </left>
      <right style="thin">
        <color indexed="62"/>
      </right>
      <top style="hair">
        <color indexed="14"/>
      </top>
      <bottom style="hair">
        <color indexed="14"/>
      </bottom>
    </border>
    <border>
      <left>
        <color indexed="63"/>
      </left>
      <right style="medium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 style="hair">
        <color indexed="14"/>
      </top>
      <bottom style="hair">
        <color indexed="14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hair">
        <color indexed="62"/>
      </bottom>
    </border>
    <border>
      <left>
        <color indexed="63"/>
      </left>
      <right style="hair">
        <color indexed="14"/>
      </right>
      <top style="hair">
        <color indexed="14"/>
      </top>
      <bottom style="hair">
        <color indexed="14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3" fillId="0" borderId="1" applyFont="0" applyFill="0" applyBorder="0" applyAlignment="0" applyProtection="0"/>
    <xf numFmtId="1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15" fillId="3" borderId="2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8" fillId="4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5" fillId="5" borderId="3" xfId="0" applyFont="1" applyFill="1" applyBorder="1" applyAlignment="1" applyProtection="1">
      <alignment/>
      <protection hidden="1"/>
    </xf>
    <xf numFmtId="0" fontId="0" fillId="5" borderId="4" xfId="0" applyFont="1" applyFill="1" applyBorder="1" applyAlignment="1" applyProtection="1">
      <alignment/>
      <protection hidden="1"/>
    </xf>
    <xf numFmtId="9" fontId="15" fillId="6" borderId="2" xfId="23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7" borderId="3" xfId="0" applyFont="1" applyFill="1" applyBorder="1" applyAlignment="1" applyProtection="1">
      <alignment/>
      <protection hidden="1"/>
    </xf>
    <xf numFmtId="0" fontId="0" fillId="7" borderId="4" xfId="0" applyFont="1" applyFill="1" applyBorder="1" applyAlignment="1" applyProtection="1">
      <alignment/>
      <protection hidden="1"/>
    </xf>
    <xf numFmtId="0" fontId="15" fillId="8" borderId="3" xfId="0" applyFont="1" applyFill="1" applyBorder="1" applyAlignment="1" applyProtection="1">
      <alignment/>
      <protection hidden="1"/>
    </xf>
    <xf numFmtId="0" fontId="0" fillId="8" borderId="4" xfId="0" applyFont="1" applyFill="1" applyBorder="1" applyAlignment="1" applyProtection="1">
      <alignment/>
      <protection hidden="1"/>
    </xf>
    <xf numFmtId="0" fontId="29" fillId="9" borderId="0" xfId="0" applyFont="1" applyFill="1" applyBorder="1" applyAlignment="1" applyProtection="1">
      <alignment horizontal="center"/>
      <protection hidden="1"/>
    </xf>
    <xf numFmtId="4" fontId="15" fillId="2" borderId="0" xfId="0" applyNumberFormat="1" applyFont="1" applyFill="1" applyBorder="1" applyAlignment="1" applyProtection="1">
      <alignment wrapText="1"/>
      <protection hidden="1"/>
    </xf>
    <xf numFmtId="4" fontId="15" fillId="2" borderId="5" xfId="0" applyNumberFormat="1" applyFont="1" applyFill="1" applyBorder="1" applyAlignment="1" applyProtection="1">
      <alignment wrapText="1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16" fillId="10" borderId="0" xfId="0" applyFont="1" applyFill="1" applyBorder="1" applyAlignment="1" applyProtection="1">
      <alignment horizontal="center"/>
      <protection hidden="1"/>
    </xf>
    <xf numFmtId="0" fontId="16" fillId="11" borderId="0" xfId="0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4" fontId="15" fillId="10" borderId="0" xfId="0" applyNumberFormat="1" applyFont="1" applyFill="1" applyBorder="1" applyAlignment="1" applyProtection="1">
      <alignment wrapText="1"/>
      <protection hidden="1"/>
    </xf>
    <xf numFmtId="4" fontId="15" fillId="10" borderId="5" xfId="0" applyNumberFormat="1" applyFont="1" applyFill="1" applyBorder="1" applyAlignment="1" applyProtection="1">
      <alignment wrapText="1"/>
      <protection hidden="1"/>
    </xf>
    <xf numFmtId="4" fontId="15" fillId="11" borderId="0" xfId="0" applyNumberFormat="1" applyFont="1" applyFill="1" applyBorder="1" applyAlignment="1" applyProtection="1">
      <alignment wrapText="1"/>
      <protection hidden="1"/>
    </xf>
    <xf numFmtId="4" fontId="15" fillId="11" borderId="5" xfId="0" applyNumberFormat="1" applyFont="1" applyFill="1" applyBorder="1" applyAlignment="1" applyProtection="1">
      <alignment wrapText="1"/>
      <protection hidden="1"/>
    </xf>
    <xf numFmtId="4" fontId="15" fillId="0" borderId="0" xfId="0" applyNumberFormat="1" applyFont="1" applyBorder="1" applyAlignment="1" applyProtection="1">
      <alignment/>
      <protection hidden="1"/>
    </xf>
    <xf numFmtId="9" fontId="30" fillId="0" borderId="0" xfId="23" applyFont="1" applyBorder="1" applyAlignment="1" applyProtection="1">
      <alignment horizontal="center"/>
      <protection hidden="1"/>
    </xf>
    <xf numFmtId="0" fontId="15" fillId="3" borderId="0" xfId="0" applyFont="1" applyFill="1" applyBorder="1" applyAlignment="1" applyProtection="1">
      <alignment horizontal="center"/>
      <protection hidden="1"/>
    </xf>
    <xf numFmtId="0" fontId="15" fillId="6" borderId="0" xfId="0" applyFont="1" applyFill="1" applyBorder="1" applyAlignment="1" applyProtection="1">
      <alignment horizontal="center"/>
      <protection hidden="1"/>
    </xf>
    <xf numFmtId="4" fontId="15" fillId="0" borderId="0" xfId="0" applyNumberFormat="1" applyFont="1" applyBorder="1" applyAlignment="1" applyProtection="1">
      <alignment horizontal="center"/>
      <protection hidden="1"/>
    </xf>
    <xf numFmtId="9" fontId="15" fillId="6" borderId="3" xfId="0" applyNumberFormat="1" applyFont="1" applyFill="1" applyBorder="1" applyAlignment="1" applyProtection="1">
      <alignment horizontal="center" vertical="center"/>
      <protection hidden="1"/>
    </xf>
    <xf numFmtId="9" fontId="15" fillId="6" borderId="0" xfId="23" applyFont="1" applyFill="1" applyBorder="1" applyAlignment="1" applyProtection="1">
      <alignment horizontal="center"/>
      <protection hidden="1"/>
    </xf>
    <xf numFmtId="9" fontId="15" fillId="0" borderId="0" xfId="0" applyNumberFormat="1" applyFont="1" applyBorder="1" applyAlignment="1" applyProtection="1">
      <alignment horizontal="center"/>
      <protection hidden="1"/>
    </xf>
    <xf numFmtId="4" fontId="15" fillId="2" borderId="0" xfId="0" applyNumberFormat="1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14" fontId="15" fillId="6" borderId="0" xfId="0" applyNumberFormat="1" applyFont="1" applyFill="1" applyBorder="1" applyAlignment="1" applyProtection="1">
      <alignment horizontal="center"/>
      <protection hidden="1"/>
    </xf>
    <xf numFmtId="49" fontId="15" fillId="2" borderId="0" xfId="0" applyNumberFormat="1" applyFont="1" applyFill="1" applyBorder="1" applyAlignment="1" applyProtection="1">
      <alignment horizontal="center"/>
      <protection hidden="1"/>
    </xf>
    <xf numFmtId="49" fontId="15" fillId="10" borderId="0" xfId="0" applyNumberFormat="1" applyFont="1" applyFill="1" applyBorder="1" applyAlignment="1" applyProtection="1">
      <alignment horizontal="center"/>
      <protection hidden="1"/>
    </xf>
    <xf numFmtId="0" fontId="23" fillId="2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0" fontId="15" fillId="3" borderId="0" xfId="0" applyFont="1" applyFill="1" applyBorder="1" applyAlignment="1" applyProtection="1">
      <alignment/>
      <protection hidden="1"/>
    </xf>
    <xf numFmtId="0" fontId="15" fillId="3" borderId="0" xfId="0" applyFont="1" applyFill="1" applyBorder="1" applyAlignment="1" applyProtection="1">
      <alignment horizontal="right"/>
      <protection hidden="1"/>
    </xf>
    <xf numFmtId="4" fontId="15" fillId="3" borderId="6" xfId="0" applyNumberFormat="1" applyFont="1" applyFill="1" applyBorder="1" applyAlignment="1" applyProtection="1">
      <alignment/>
      <protection hidden="1"/>
    </xf>
    <xf numFmtId="4" fontId="23" fillId="10" borderId="0" xfId="0" applyNumberFormat="1" applyFont="1" applyFill="1" applyBorder="1" applyAlignment="1" applyProtection="1">
      <alignment/>
      <protection hidden="1"/>
    </xf>
    <xf numFmtId="0" fontId="23" fillId="10" borderId="0" xfId="0" applyFont="1" applyFill="1" applyBorder="1" applyAlignment="1" applyProtection="1">
      <alignment horizontal="center"/>
      <protection hidden="1"/>
    </xf>
    <xf numFmtId="0" fontId="29" fillId="12" borderId="7" xfId="0" applyFont="1" applyFill="1" applyBorder="1" applyAlignment="1" applyProtection="1">
      <alignment horizontal="center"/>
      <protection hidden="1"/>
    </xf>
    <xf numFmtId="4" fontId="23" fillId="11" borderId="0" xfId="0" applyNumberFormat="1" applyFont="1" applyFill="1" applyBorder="1" applyAlignment="1" applyProtection="1">
      <alignment/>
      <protection hidden="1"/>
    </xf>
    <xf numFmtId="0" fontId="23" fillId="11" borderId="0" xfId="0" applyFont="1" applyFill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9" fontId="18" fillId="3" borderId="0" xfId="0" applyNumberFormat="1" applyFont="1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49" fontId="24" fillId="3" borderId="0" xfId="0" applyNumberFormat="1" applyFont="1" applyFill="1" applyAlignment="1" applyProtection="1">
      <alignment horizontal="right"/>
      <protection hidden="1"/>
    </xf>
    <xf numFmtId="195" fontId="24" fillId="3" borderId="0" xfId="0" applyNumberFormat="1" applyFont="1" applyFill="1" applyAlignment="1" applyProtection="1">
      <alignment horizontal="right"/>
      <protection hidden="1"/>
    </xf>
    <xf numFmtId="172" fontId="24" fillId="3" borderId="0" xfId="0" applyNumberFormat="1" applyFont="1" applyFill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0" fontId="19" fillId="0" borderId="0" xfId="0" applyFont="1" applyBorder="1" applyAlignment="1" applyProtection="1">
      <alignment vertical="top"/>
      <protection hidden="1"/>
    </xf>
    <xf numFmtId="4" fontId="0" fillId="0" borderId="0" xfId="0" applyNumberFormat="1" applyFont="1" applyBorder="1" applyAlignment="1" applyProtection="1">
      <alignment/>
      <protection hidden="1"/>
    </xf>
    <xf numFmtId="4" fontId="24" fillId="0" borderId="0" xfId="0" applyNumberFormat="1" applyFont="1" applyAlignment="1" applyProtection="1">
      <alignment horizontal="center"/>
      <protection hidden="1"/>
    </xf>
    <xf numFmtId="179" fontId="16" fillId="0" borderId="0" xfId="0" applyNumberFormat="1" applyFont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 textRotation="90"/>
      <protection hidden="1"/>
    </xf>
    <xf numFmtId="14" fontId="0" fillId="0" borderId="0" xfId="0" applyNumberFormat="1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9" fontId="21" fillId="0" borderId="0" xfId="0" applyNumberFormat="1" applyFont="1" applyFill="1" applyBorder="1" applyAlignment="1" applyProtection="1">
      <alignment horizontal="center"/>
      <protection hidden="1"/>
    </xf>
    <xf numFmtId="9" fontId="15" fillId="0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right"/>
      <protection hidden="1"/>
    </xf>
    <xf numFmtId="9" fontId="0" fillId="0" borderId="0" xfId="0" applyNumberFormat="1" applyFont="1" applyBorder="1" applyAlignment="1" applyProtection="1">
      <alignment horizontal="center" vertical="center" textRotation="90"/>
      <protection hidden="1"/>
    </xf>
    <xf numFmtId="9" fontId="15" fillId="0" borderId="0" xfId="0" applyNumberFormat="1" applyFont="1" applyBorder="1" applyAlignment="1" applyProtection="1">
      <alignment vertical="center"/>
      <protection hidden="1"/>
    </xf>
    <xf numFmtId="49" fontId="15" fillId="0" borderId="0" xfId="0" applyNumberFormat="1" applyFont="1" applyAlignment="1" applyProtection="1">
      <alignment horizontal="center"/>
      <protection hidden="1"/>
    </xf>
    <xf numFmtId="9" fontId="16" fillId="0" borderId="0" xfId="0" applyNumberFormat="1" applyFont="1" applyBorder="1" applyAlignment="1" applyProtection="1">
      <alignment horizontal="center" textRotation="90"/>
      <protection hidden="1"/>
    </xf>
    <xf numFmtId="9" fontId="24" fillId="0" borderId="0" xfId="0" applyNumberFormat="1" applyFont="1" applyAlignment="1" applyProtection="1">
      <alignment horizontal="center"/>
      <protection hidden="1"/>
    </xf>
    <xf numFmtId="9" fontId="2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9" fontId="0" fillId="0" borderId="0" xfId="0" applyNumberFormat="1" applyFont="1" applyAlignment="1" applyProtection="1">
      <alignment/>
      <protection hidden="1"/>
    </xf>
    <xf numFmtId="9" fontId="15" fillId="0" borderId="0" xfId="0" applyNumberFormat="1" applyFont="1" applyBorder="1" applyAlignment="1" applyProtection="1">
      <alignment horizontal="right"/>
      <protection hidden="1"/>
    </xf>
    <xf numFmtId="4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9" fontId="15" fillId="0" borderId="0" xfId="0" applyNumberFormat="1" applyFont="1" applyAlignment="1" applyProtection="1">
      <alignment/>
      <protection hidden="1"/>
    </xf>
    <xf numFmtId="49" fontId="23" fillId="0" borderId="0" xfId="0" applyNumberFormat="1" applyFont="1" applyBorder="1" applyAlignment="1" applyProtection="1">
      <alignment horizontal="center"/>
      <protection hidden="1"/>
    </xf>
    <xf numFmtId="183" fontId="0" fillId="0" borderId="0" xfId="0" applyNumberFormat="1" applyFont="1" applyAlignment="1" applyProtection="1">
      <alignment/>
      <protection hidden="1"/>
    </xf>
    <xf numFmtId="9" fontId="21" fillId="0" borderId="0" xfId="0" applyNumberFormat="1" applyFont="1" applyFill="1" applyBorder="1" applyAlignment="1" applyProtection="1">
      <alignment horizontal="right"/>
      <protection hidden="1"/>
    </xf>
    <xf numFmtId="9" fontId="15" fillId="0" borderId="0" xfId="0" applyNumberFormat="1" applyFont="1" applyFill="1" applyBorder="1" applyAlignment="1" applyProtection="1">
      <alignment/>
      <protection hidden="1"/>
    </xf>
    <xf numFmtId="179" fontId="15" fillId="0" borderId="0" xfId="0" applyNumberFormat="1" applyFont="1" applyAlignment="1" applyProtection="1">
      <alignment horizontal="right"/>
      <protection hidden="1"/>
    </xf>
    <xf numFmtId="9" fontId="0" fillId="0" borderId="0" xfId="0" applyNumberFormat="1" applyFont="1" applyFill="1" applyAlignment="1" applyProtection="1">
      <alignment horizontal="center"/>
      <protection hidden="1"/>
    </xf>
    <xf numFmtId="4" fontId="15" fillId="0" borderId="0" xfId="0" applyNumberFormat="1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79" fontId="15" fillId="0" borderId="0" xfId="0" applyNumberFormat="1" applyFont="1" applyAlignment="1" applyProtection="1">
      <alignment/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4" fontId="4" fillId="0" borderId="0" xfId="0" applyNumberFormat="1" applyFont="1" applyAlignment="1" applyProtection="1">
      <alignment/>
      <protection hidden="1"/>
    </xf>
    <xf numFmtId="4" fontId="4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" fontId="10" fillId="0" borderId="0" xfId="0" applyNumberFormat="1" applyFont="1" applyAlignment="1" applyProtection="1">
      <alignment horizontal="right"/>
      <protection hidden="1"/>
    </xf>
    <xf numFmtId="4" fontId="14" fillId="0" borderId="0" xfId="0" applyNumberFormat="1" applyFont="1" applyAlignment="1" applyProtection="1">
      <alignment/>
      <protection hidden="1"/>
    </xf>
    <xf numFmtId="4" fontId="13" fillId="9" borderId="0" xfId="0" applyNumberFormat="1" applyFont="1" applyFill="1" applyBorder="1" applyAlignment="1" applyProtection="1">
      <alignment horizontal="center"/>
      <protection hidden="1"/>
    </xf>
    <xf numFmtId="4" fontId="5" fillId="3" borderId="0" xfId="0" applyNumberFormat="1" applyFont="1" applyFill="1" applyAlignment="1" applyProtection="1">
      <alignment/>
      <protection hidden="1"/>
    </xf>
    <xf numFmtId="4" fontId="4" fillId="3" borderId="0" xfId="0" applyNumberFormat="1" applyFont="1" applyFill="1" applyAlignment="1" applyProtection="1">
      <alignment/>
      <protection hidden="1"/>
    </xf>
    <xf numFmtId="4" fontId="4" fillId="3" borderId="0" xfId="0" applyNumberFormat="1" applyFont="1" applyFill="1" applyAlignment="1" applyProtection="1">
      <alignment horizontal="center"/>
      <protection hidden="1"/>
    </xf>
    <xf numFmtId="4" fontId="4" fillId="6" borderId="0" xfId="0" applyNumberFormat="1" applyFont="1" applyFill="1" applyAlignment="1" applyProtection="1">
      <alignment/>
      <protection hidden="1"/>
    </xf>
    <xf numFmtId="4" fontId="13" fillId="13" borderId="7" xfId="0" applyNumberFormat="1" applyFont="1" applyFill="1" applyBorder="1" applyAlignment="1" applyProtection="1">
      <alignment horizontal="center"/>
      <protection hidden="1"/>
    </xf>
    <xf numFmtId="4" fontId="8" fillId="3" borderId="0" xfId="0" applyNumberFormat="1" applyFont="1" applyFill="1" applyAlignment="1" applyProtection="1">
      <alignment/>
      <protection hidden="1"/>
    </xf>
    <xf numFmtId="4" fontId="13" fillId="13" borderId="0" xfId="0" applyNumberFormat="1" applyFont="1" applyFill="1" applyBorder="1" applyAlignment="1" applyProtection="1">
      <alignment horizontal="center"/>
      <protection hidden="1"/>
    </xf>
    <xf numFmtId="4" fontId="13" fillId="14" borderId="7" xfId="0" applyNumberFormat="1" applyFont="1" applyFill="1" applyBorder="1" applyAlignment="1" applyProtection="1">
      <alignment horizontal="center"/>
      <protection hidden="1"/>
    </xf>
    <xf numFmtId="4" fontId="11" fillId="3" borderId="0" xfId="0" applyNumberFormat="1" applyFont="1" applyFill="1" applyAlignment="1" applyProtection="1">
      <alignment/>
      <protection hidden="1"/>
    </xf>
    <xf numFmtId="4" fontId="13" fillId="14" borderId="0" xfId="0" applyNumberFormat="1" applyFont="1" applyFill="1" applyBorder="1" applyAlignment="1" applyProtection="1">
      <alignment horizontal="center"/>
      <protection hidden="1"/>
    </xf>
    <xf numFmtId="4" fontId="13" fillId="12" borderId="7" xfId="0" applyNumberFormat="1" applyFont="1" applyFill="1" applyBorder="1" applyAlignment="1" applyProtection="1">
      <alignment horizontal="center"/>
      <protection hidden="1"/>
    </xf>
    <xf numFmtId="4" fontId="12" fillId="3" borderId="0" xfId="0" applyNumberFormat="1" applyFont="1" applyFill="1" applyAlignment="1" applyProtection="1">
      <alignment/>
      <protection hidden="1"/>
    </xf>
    <xf numFmtId="4" fontId="13" fillId="9" borderId="7" xfId="0" applyNumberFormat="1" applyFont="1" applyFill="1" applyBorder="1" applyAlignment="1" applyProtection="1">
      <alignment horizontal="center"/>
      <protection hidden="1"/>
    </xf>
    <xf numFmtId="4" fontId="4" fillId="9" borderId="0" xfId="0" applyNumberFormat="1" applyFont="1" applyFill="1" applyAlignment="1" applyProtection="1">
      <alignment/>
      <protection hidden="1"/>
    </xf>
    <xf numFmtId="4" fontId="13" fillId="12" borderId="0" xfId="0" applyNumberFormat="1" applyFont="1" applyFill="1" applyBorder="1" applyAlignment="1" applyProtection="1">
      <alignment horizontal="center"/>
      <protection hidden="1"/>
    </xf>
    <xf numFmtId="4" fontId="4" fillId="0" borderId="0" xfId="0" applyNumberFormat="1" applyFont="1" applyFill="1" applyAlignment="1" applyProtection="1">
      <alignment/>
      <protection hidden="1"/>
    </xf>
    <xf numFmtId="4" fontId="15" fillId="2" borderId="0" xfId="0" applyNumberFormat="1" applyFont="1" applyFill="1" applyBorder="1" applyAlignment="1" applyProtection="1">
      <alignment horizontal="center" textRotation="90" wrapText="1"/>
      <protection hidden="1"/>
    </xf>
    <xf numFmtId="4" fontId="15" fillId="10" borderId="0" xfId="0" applyNumberFormat="1" applyFont="1" applyFill="1" applyBorder="1" applyAlignment="1" applyProtection="1">
      <alignment horizontal="center" textRotation="90" wrapText="1"/>
      <protection hidden="1"/>
    </xf>
    <xf numFmtId="4" fontId="22" fillId="0" borderId="0" xfId="0" applyNumberFormat="1" applyFont="1" applyAlignment="1" applyProtection="1">
      <alignment/>
      <protection hidden="1"/>
    </xf>
    <xf numFmtId="4" fontId="31" fillId="0" borderId="0" xfId="0" applyNumberFormat="1" applyFont="1" applyAlignment="1" applyProtection="1">
      <alignment/>
      <protection hidden="1"/>
    </xf>
    <xf numFmtId="4" fontId="15" fillId="11" borderId="0" xfId="0" applyNumberFormat="1" applyFont="1" applyFill="1" applyBorder="1" applyAlignment="1" applyProtection="1">
      <alignment horizontal="center" textRotation="90" wrapText="1"/>
      <protection hidden="1"/>
    </xf>
    <xf numFmtId="4" fontId="15" fillId="10" borderId="0" xfId="0" applyNumberFormat="1" applyFont="1" applyFill="1" applyBorder="1" applyAlignment="1" applyProtection="1">
      <alignment horizontal="center"/>
      <protection hidden="1"/>
    </xf>
    <xf numFmtId="4" fontId="15" fillId="11" borderId="0" xfId="0" applyNumberFormat="1" applyFont="1" applyFill="1" applyBorder="1" applyAlignment="1" applyProtection="1">
      <alignment horizontal="center"/>
      <protection hidden="1"/>
    </xf>
    <xf numFmtId="0" fontId="0" fillId="3" borderId="0" xfId="0" applyFont="1" applyFill="1" applyAlignment="1" applyProtection="1">
      <alignment/>
      <protection hidden="1"/>
    </xf>
    <xf numFmtId="14" fontId="15" fillId="6" borderId="2" xfId="0" applyNumberFormat="1" applyFont="1" applyFill="1" applyBorder="1" applyAlignment="1" applyProtection="1">
      <alignment horizontal="center"/>
      <protection hidden="1"/>
    </xf>
    <xf numFmtId="4" fontId="15" fillId="6" borderId="2" xfId="23" applyNumberFormat="1" applyFont="1" applyFill="1" applyBorder="1" applyAlignment="1" applyProtection="1">
      <alignment/>
      <protection hidden="1"/>
    </xf>
    <xf numFmtId="9" fontId="15" fillId="3" borderId="2" xfId="23" applyFont="1" applyFill="1" applyBorder="1" applyAlignment="1" applyProtection="1">
      <alignment horizontal="center"/>
      <protection hidden="1"/>
    </xf>
    <xf numFmtId="4" fontId="15" fillId="3" borderId="2" xfId="23" applyNumberFormat="1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3" fontId="15" fillId="3" borderId="2" xfId="0" applyNumberFormat="1" applyFont="1" applyFill="1" applyBorder="1" applyAlignment="1" applyProtection="1">
      <alignment horizontal="center"/>
      <protection hidden="1"/>
    </xf>
    <xf numFmtId="9" fontId="30" fillId="3" borderId="0" xfId="23" applyFont="1" applyFill="1" applyBorder="1" applyAlignment="1" applyProtection="1">
      <alignment horizontal="center"/>
      <protection hidden="1"/>
    </xf>
    <xf numFmtId="0" fontId="0" fillId="10" borderId="0" xfId="0" applyFont="1" applyFill="1" applyAlignment="1" applyProtection="1">
      <alignment/>
      <protection hidden="1"/>
    </xf>
    <xf numFmtId="0" fontId="0" fillId="11" borderId="0" xfId="0" applyFont="1" applyFill="1" applyAlignment="1" applyProtection="1">
      <alignment/>
      <protection hidden="1"/>
    </xf>
    <xf numFmtId="0" fontId="22" fillId="3" borderId="0" xfId="0" applyFont="1" applyFill="1" applyAlignment="1" applyProtection="1">
      <alignment horizontal="center"/>
      <protection hidden="1"/>
    </xf>
    <xf numFmtId="0" fontId="15" fillId="0" borderId="8" xfId="0" applyFont="1" applyBorder="1" applyAlignment="1" applyProtection="1">
      <alignment/>
      <protection hidden="1"/>
    </xf>
    <xf numFmtId="0" fontId="22" fillId="2" borderId="0" xfId="0" applyFont="1" applyFill="1" applyAlignment="1" applyProtection="1">
      <alignment horizontal="center"/>
      <protection hidden="1"/>
    </xf>
    <xf numFmtId="199" fontId="22" fillId="2" borderId="0" xfId="0" applyNumberFormat="1" applyFont="1" applyFill="1" applyAlignment="1" applyProtection="1">
      <alignment horizontal="center"/>
      <protection hidden="1"/>
    </xf>
    <xf numFmtId="0" fontId="22" fillId="10" borderId="0" xfId="0" applyFont="1" applyFill="1" applyAlignment="1" applyProtection="1">
      <alignment horizontal="center"/>
      <protection hidden="1"/>
    </xf>
    <xf numFmtId="0" fontId="22" fillId="11" borderId="0" xfId="0" applyFont="1" applyFill="1" applyAlignment="1" applyProtection="1">
      <alignment horizontal="center"/>
      <protection hidden="1"/>
    </xf>
    <xf numFmtId="9" fontId="22" fillId="3" borderId="2" xfId="0" applyNumberFormat="1" applyFont="1" applyFill="1" applyBorder="1" applyAlignment="1" applyProtection="1">
      <alignment/>
      <protection hidden="1"/>
    </xf>
    <xf numFmtId="0" fontId="16" fillId="0" borderId="9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22" fillId="3" borderId="0" xfId="0" applyFont="1" applyFill="1" applyAlignment="1" applyProtection="1">
      <alignment/>
      <protection hidden="1"/>
    </xf>
    <xf numFmtId="4" fontId="23" fillId="2" borderId="0" xfId="0" applyNumberFormat="1" applyFont="1" applyFill="1" applyBorder="1" applyAlignment="1" applyProtection="1">
      <alignment horizontal="center"/>
      <protection hidden="1"/>
    </xf>
    <xf numFmtId="4" fontId="0" fillId="2" borderId="0" xfId="0" applyNumberFormat="1" applyFont="1" applyFill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30" fillId="3" borderId="0" xfId="0" applyFont="1" applyFill="1" applyBorder="1" applyAlignment="1" applyProtection="1">
      <alignment horizontal="center"/>
      <protection hidden="1"/>
    </xf>
    <xf numFmtId="9" fontId="15" fillId="6" borderId="2" xfId="0" applyNumberFormat="1" applyFont="1" applyFill="1" applyBorder="1" applyAlignment="1" applyProtection="1">
      <alignment horizontal="center" vertical="center"/>
      <protection hidden="1"/>
    </xf>
    <xf numFmtId="9" fontId="15" fillId="3" borderId="0" xfId="23" applyFont="1" applyFill="1" applyBorder="1" applyAlignment="1" applyProtection="1">
      <alignment horizontal="center"/>
      <protection hidden="1"/>
    </xf>
    <xf numFmtId="9" fontId="15" fillId="3" borderId="10" xfId="23" applyFont="1" applyFill="1" applyBorder="1" applyAlignment="1" applyProtection="1">
      <alignment horizontal="center"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center" textRotation="90"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9" fontId="22" fillId="0" borderId="0" xfId="0" applyNumberFormat="1" applyFont="1" applyBorder="1" applyAlignment="1" applyProtection="1">
      <alignment horizontal="center"/>
      <protection hidden="1"/>
    </xf>
    <xf numFmtId="4" fontId="15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15" fillId="10" borderId="5" xfId="0" applyNumberFormat="1" applyFont="1" applyFill="1" applyBorder="1" applyAlignment="1" applyProtection="1">
      <alignment horizontal="center" vertical="center" wrapText="1"/>
      <protection hidden="1"/>
    </xf>
    <xf numFmtId="4" fontId="15" fillId="10" borderId="5" xfId="0" applyNumberFormat="1" applyFont="1" applyFill="1" applyBorder="1" applyAlignment="1" applyProtection="1">
      <alignment horizontal="center" wrapText="1"/>
      <protection hidden="1"/>
    </xf>
    <xf numFmtId="0" fontId="0" fillId="3" borderId="0" xfId="0" applyFont="1" applyFill="1" applyBorder="1" applyAlignment="1" applyProtection="1">
      <alignment/>
      <protection hidden="1"/>
    </xf>
    <xf numFmtId="4" fontId="15" fillId="3" borderId="11" xfId="23" applyNumberFormat="1" applyFont="1" applyFill="1" applyBorder="1" applyAlignment="1" applyProtection="1">
      <alignment/>
      <protection hidden="1"/>
    </xf>
    <xf numFmtId="0" fontId="18" fillId="3" borderId="0" xfId="0" applyFont="1" applyFill="1" applyAlignment="1" applyProtection="1">
      <alignment horizontal="right"/>
      <protection hidden="1"/>
    </xf>
    <xf numFmtId="0" fontId="22" fillId="3" borderId="4" xfId="0" applyFont="1" applyFill="1" applyBorder="1" applyAlignment="1" applyProtection="1">
      <alignment/>
      <protection hidden="1"/>
    </xf>
    <xf numFmtId="0" fontId="15" fillId="3" borderId="11" xfId="0" applyFont="1" applyFill="1" applyBorder="1" applyAlignment="1" applyProtection="1">
      <alignment/>
      <protection hidden="1"/>
    </xf>
    <xf numFmtId="4" fontId="22" fillId="3" borderId="0" xfId="0" applyNumberFormat="1" applyFont="1" applyFill="1" applyAlignment="1" applyProtection="1">
      <alignment horizontal="center"/>
      <protection hidden="1"/>
    </xf>
    <xf numFmtId="4" fontId="22" fillId="3" borderId="0" xfId="0" applyNumberFormat="1" applyFont="1" applyFill="1" applyAlignment="1" applyProtection="1">
      <alignment/>
      <protection hidden="1"/>
    </xf>
    <xf numFmtId="4" fontId="15" fillId="3" borderId="0" xfId="0" applyNumberFormat="1" applyFont="1" applyFill="1" applyBorder="1" applyAlignment="1" applyProtection="1">
      <alignment horizontal="center"/>
      <protection hidden="1"/>
    </xf>
    <xf numFmtId="0" fontId="16" fillId="3" borderId="5" xfId="0" applyFont="1" applyFill="1" applyBorder="1" applyAlignment="1" applyProtection="1">
      <alignment/>
      <protection hidden="1"/>
    </xf>
    <xf numFmtId="0" fontId="22" fillId="3" borderId="8" xfId="0" applyFont="1" applyFill="1" applyBorder="1" applyAlignment="1" applyProtection="1">
      <alignment/>
      <protection hidden="1"/>
    </xf>
    <xf numFmtId="0" fontId="15" fillId="3" borderId="12" xfId="0" applyFont="1" applyFill="1" applyBorder="1" applyAlignment="1" applyProtection="1">
      <alignment/>
      <protection hidden="1"/>
    </xf>
    <xf numFmtId="0" fontId="16" fillId="9" borderId="0" xfId="0" applyFont="1" applyFill="1" applyBorder="1" applyAlignment="1" applyProtection="1">
      <alignment horizontal="center"/>
      <protection hidden="1"/>
    </xf>
    <xf numFmtId="0" fontId="16" fillId="10" borderId="0" xfId="0" applyFont="1" applyFill="1" applyBorder="1" applyAlignment="1" applyProtection="1">
      <alignment/>
      <protection hidden="1"/>
    </xf>
    <xf numFmtId="4" fontId="23" fillId="10" borderId="0" xfId="0" applyNumberFormat="1" applyFont="1" applyFill="1" applyBorder="1" applyAlignment="1" applyProtection="1">
      <alignment horizontal="center"/>
      <protection hidden="1"/>
    </xf>
    <xf numFmtId="0" fontId="16" fillId="11" borderId="0" xfId="0" applyFont="1" applyFill="1" applyBorder="1" applyAlignment="1" applyProtection="1">
      <alignment/>
      <protection hidden="1"/>
    </xf>
    <xf numFmtId="0" fontId="16" fillId="11" borderId="13" xfId="0" applyFont="1" applyFill="1" applyBorder="1" applyAlignment="1" applyProtection="1">
      <alignment horizontal="center"/>
      <protection hidden="1"/>
    </xf>
    <xf numFmtId="4" fontId="15" fillId="0" borderId="14" xfId="0" applyNumberFormat="1" applyFont="1" applyBorder="1" applyAlignment="1" applyProtection="1">
      <alignment/>
      <protection hidden="1"/>
    </xf>
    <xf numFmtId="9" fontId="15" fillId="3" borderId="15" xfId="23" applyFont="1" applyFill="1" applyBorder="1" applyAlignment="1" applyProtection="1">
      <alignment horizontal="center"/>
      <protection hidden="1"/>
    </xf>
    <xf numFmtId="9" fontId="15" fillId="0" borderId="14" xfId="0" applyNumberFormat="1" applyFont="1" applyBorder="1" applyAlignment="1" applyProtection="1">
      <alignment/>
      <protection hidden="1"/>
    </xf>
    <xf numFmtId="9" fontId="22" fillId="0" borderId="0" xfId="0" applyNumberFormat="1" applyFont="1" applyAlignment="1" applyProtection="1">
      <alignment/>
      <protection hidden="1"/>
    </xf>
    <xf numFmtId="9" fontId="15" fillId="3" borderId="3" xfId="0" applyNumberFormat="1" applyFont="1" applyFill="1" applyBorder="1" applyAlignment="1" applyProtection="1">
      <alignment horizontal="center" vertical="center"/>
      <protection hidden="1"/>
    </xf>
    <xf numFmtId="4" fontId="15" fillId="3" borderId="16" xfId="23" applyNumberFormat="1" applyFont="1" applyFill="1" applyBorder="1" applyAlignment="1" applyProtection="1">
      <alignment/>
      <protection hidden="1"/>
    </xf>
    <xf numFmtId="4" fontId="15" fillId="15" borderId="6" xfId="0" applyNumberFormat="1" applyFont="1" applyFill="1" applyBorder="1" applyAlignment="1" applyProtection="1">
      <alignment vertical="center"/>
      <protection hidden="1"/>
    </xf>
    <xf numFmtId="0" fontId="15" fillId="16" borderId="7" xfId="0" applyFont="1" applyFill="1" applyBorder="1" applyAlignment="1" applyProtection="1">
      <alignment horizontal="center"/>
      <protection hidden="1"/>
    </xf>
    <xf numFmtId="0" fontId="15" fillId="16" borderId="0" xfId="0" applyFont="1" applyFill="1" applyBorder="1" applyAlignment="1" applyProtection="1">
      <alignment/>
      <protection hidden="1"/>
    </xf>
    <xf numFmtId="0" fontId="15" fillId="16" borderId="0" xfId="0" applyFont="1" applyFill="1" applyBorder="1" applyAlignment="1" applyProtection="1">
      <alignment horizontal="center"/>
      <protection hidden="1"/>
    </xf>
    <xf numFmtId="0" fontId="29" fillId="17" borderId="17" xfId="0" applyFont="1" applyFill="1" applyBorder="1" applyAlignment="1" applyProtection="1">
      <alignment horizontal="center"/>
      <protection hidden="1"/>
    </xf>
    <xf numFmtId="0" fontId="29" fillId="17" borderId="7" xfId="0" applyFont="1" applyFill="1" applyBorder="1" applyAlignment="1" applyProtection="1">
      <alignment horizontal="center"/>
      <protection hidden="1"/>
    </xf>
    <xf numFmtId="4" fontId="15" fillId="5" borderId="6" xfId="0" applyNumberFormat="1" applyFont="1" applyFill="1" applyBorder="1" applyAlignment="1" applyProtection="1">
      <alignment vertical="center"/>
      <protection hidden="1"/>
    </xf>
    <xf numFmtId="4" fontId="15" fillId="18" borderId="2" xfId="23" applyNumberFormat="1" applyFont="1" applyFill="1" applyBorder="1" applyAlignment="1" applyProtection="1">
      <alignment/>
      <protection hidden="1"/>
    </xf>
    <xf numFmtId="4" fontId="15" fillId="16" borderId="2" xfId="23" applyNumberFormat="1" applyFont="1" applyFill="1" applyBorder="1" applyAlignment="1" applyProtection="1">
      <alignment/>
      <protection hidden="1"/>
    </xf>
    <xf numFmtId="4" fontId="15" fillId="11" borderId="2" xfId="23" applyNumberFormat="1" applyFont="1" applyFill="1" applyBorder="1" applyAlignment="1" applyProtection="1">
      <alignment/>
      <protection hidden="1"/>
    </xf>
    <xf numFmtId="4" fontId="15" fillId="11" borderId="3" xfId="23" applyNumberFormat="1" applyFont="1" applyFill="1" applyBorder="1" applyAlignment="1" applyProtection="1">
      <alignment/>
      <protection hidden="1"/>
    </xf>
    <xf numFmtId="4" fontId="15" fillId="11" borderId="15" xfId="23" applyNumberFormat="1" applyFont="1" applyFill="1" applyBorder="1" applyAlignment="1" applyProtection="1">
      <alignment/>
      <protection hidden="1"/>
    </xf>
    <xf numFmtId="9" fontId="22" fillId="11" borderId="0" xfId="0" applyNumberFormat="1" applyFont="1" applyFill="1" applyAlignment="1" applyProtection="1">
      <alignment horizontal="center"/>
      <protection hidden="1"/>
    </xf>
    <xf numFmtId="0" fontId="0" fillId="18" borderId="0" xfId="0" applyFont="1" applyFill="1" applyAlignment="1" applyProtection="1">
      <alignment/>
      <protection hidden="1"/>
    </xf>
    <xf numFmtId="4" fontId="15" fillId="18" borderId="0" xfId="0" applyNumberFormat="1" applyFont="1" applyFill="1" applyBorder="1" applyAlignment="1" applyProtection="1">
      <alignment horizontal="center" wrapText="1"/>
      <protection hidden="1"/>
    </xf>
    <xf numFmtId="9" fontId="22" fillId="16" borderId="0" xfId="0" applyNumberFormat="1" applyFont="1" applyFill="1" applyAlignment="1" applyProtection="1">
      <alignment horizontal="center"/>
      <protection hidden="1"/>
    </xf>
    <xf numFmtId="9" fontId="30" fillId="18" borderId="0" xfId="23" applyFont="1" applyFill="1" applyBorder="1" applyAlignment="1" applyProtection="1">
      <alignment horizontal="center"/>
      <protection hidden="1"/>
    </xf>
    <xf numFmtId="0" fontId="29" fillId="19" borderId="7" xfId="0" applyFont="1" applyFill="1" applyBorder="1" applyAlignment="1" applyProtection="1">
      <alignment horizontal="center"/>
      <protection hidden="1"/>
    </xf>
    <xf numFmtId="0" fontId="29" fillId="19" borderId="18" xfId="0" applyFont="1" applyFill="1" applyBorder="1" applyAlignment="1" applyProtection="1">
      <alignment horizontal="center"/>
      <protection hidden="1"/>
    </xf>
    <xf numFmtId="0" fontId="29" fillId="17" borderId="18" xfId="0" applyFont="1" applyFill="1" applyBorder="1" applyAlignment="1" applyProtection="1">
      <alignment horizontal="center"/>
      <protection hidden="1"/>
    </xf>
    <xf numFmtId="0" fontId="29" fillId="19" borderId="17" xfId="0" applyFont="1" applyFill="1" applyBorder="1" applyAlignment="1" applyProtection="1">
      <alignment horizontal="center"/>
      <protection hidden="1"/>
    </xf>
    <xf numFmtId="0" fontId="29" fillId="19" borderId="0" xfId="0" applyFont="1" applyFill="1" applyBorder="1" applyAlignment="1" applyProtection="1">
      <alignment horizontal="center"/>
      <protection hidden="1"/>
    </xf>
    <xf numFmtId="0" fontId="29" fillId="17" borderId="0" xfId="0" applyFont="1" applyFill="1" applyBorder="1" applyAlignment="1" applyProtection="1">
      <alignment horizontal="center"/>
      <protection hidden="1"/>
    </xf>
    <xf numFmtId="0" fontId="29" fillId="17" borderId="5" xfId="0" applyFont="1" applyFill="1" applyBorder="1" applyAlignment="1" applyProtection="1">
      <alignment horizontal="center"/>
      <protection hidden="1"/>
    </xf>
    <xf numFmtId="0" fontId="29" fillId="7" borderId="0" xfId="0" applyFont="1" applyFill="1" applyBorder="1" applyAlignment="1" applyProtection="1">
      <alignment horizontal="center"/>
      <protection hidden="1"/>
    </xf>
    <xf numFmtId="0" fontId="29" fillId="5" borderId="0" xfId="0" applyFont="1" applyFill="1" applyBorder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4" fontId="22" fillId="3" borderId="0" xfId="0" applyNumberFormat="1" applyFont="1" applyFill="1" applyAlignment="1" applyProtection="1">
      <alignment/>
      <protection hidden="1"/>
    </xf>
    <xf numFmtId="4" fontId="4" fillId="10" borderId="0" xfId="0" applyNumberFormat="1" applyFont="1" applyFill="1" applyAlignment="1" applyProtection="1">
      <alignment/>
      <protection hidden="1"/>
    </xf>
    <xf numFmtId="0" fontId="15" fillId="3" borderId="0" xfId="0" applyFont="1" applyFill="1" applyAlignment="1" applyProtection="1">
      <alignment horizontal="center"/>
      <protection hidden="1"/>
    </xf>
    <xf numFmtId="0" fontId="31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right"/>
      <protection hidden="1"/>
    </xf>
    <xf numFmtId="14" fontId="22" fillId="0" borderId="0" xfId="0" applyNumberFormat="1" applyFont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9" fontId="31" fillId="0" borderId="0" xfId="0" applyNumberFormat="1" applyFont="1" applyAlignment="1" applyProtection="1">
      <alignment horizont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 horizontal="right"/>
      <protection hidden="1"/>
    </xf>
    <xf numFmtId="20" fontId="31" fillId="3" borderId="0" xfId="0" applyNumberFormat="1" applyFont="1" applyFill="1" applyAlignment="1" applyProtection="1">
      <alignment horizontal="center"/>
      <protection hidden="1"/>
    </xf>
    <xf numFmtId="0" fontId="31" fillId="3" borderId="0" xfId="0" applyFont="1" applyFill="1" applyAlignment="1" applyProtection="1">
      <alignment/>
      <protection hidden="1"/>
    </xf>
    <xf numFmtId="0" fontId="22" fillId="3" borderId="0" xfId="0" applyFont="1" applyFill="1" applyAlignment="1" applyProtection="1">
      <alignment/>
      <protection hidden="1"/>
    </xf>
    <xf numFmtId="0" fontId="22" fillId="0" borderId="0" xfId="0" applyFont="1" applyAlignment="1" applyProtection="1">
      <alignment horizontal="center" wrapText="1"/>
      <protection hidden="1"/>
    </xf>
    <xf numFmtId="49" fontId="22" fillId="0" borderId="0" xfId="0" applyNumberFormat="1" applyFont="1" applyAlignment="1" applyProtection="1">
      <alignment horizontal="center" wrapText="1"/>
      <protection hidden="1"/>
    </xf>
    <xf numFmtId="4" fontId="22" fillId="0" borderId="0" xfId="0" applyNumberFormat="1" applyFont="1" applyAlignment="1" applyProtection="1">
      <alignment horizontal="center" wrapText="1"/>
      <protection hidden="1"/>
    </xf>
    <xf numFmtId="4" fontId="22" fillId="0" borderId="0" xfId="0" applyNumberFormat="1" applyFont="1" applyAlignment="1" applyProtection="1">
      <alignment horizontal="center"/>
      <protection hidden="1"/>
    </xf>
    <xf numFmtId="9" fontId="22" fillId="3" borderId="0" xfId="0" applyNumberFormat="1" applyFont="1" applyFill="1" applyAlignment="1" applyProtection="1">
      <alignment horizontal="center"/>
      <protection hidden="1"/>
    </xf>
    <xf numFmtId="0" fontId="31" fillId="0" borderId="0" xfId="0" applyFont="1" applyAlignment="1" applyProtection="1">
      <alignment/>
      <protection hidden="1"/>
    </xf>
    <xf numFmtId="9" fontId="22" fillId="0" borderId="0" xfId="0" applyNumberFormat="1" applyFont="1" applyAlignment="1" applyProtection="1">
      <alignment horizontal="center"/>
      <protection hidden="1"/>
    </xf>
    <xf numFmtId="9" fontId="22" fillId="0" borderId="0" xfId="23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right"/>
      <protection hidden="1"/>
    </xf>
    <xf numFmtId="4" fontId="22" fillId="0" borderId="19" xfId="0" applyNumberFormat="1" applyFont="1" applyBorder="1" applyAlignment="1" applyProtection="1">
      <alignment/>
      <protection hidden="1"/>
    </xf>
    <xf numFmtId="4" fontId="22" fillId="0" borderId="19" xfId="0" applyNumberFormat="1" applyFont="1" applyBorder="1" applyAlignment="1" applyProtection="1">
      <alignment horizontal="center"/>
      <protection hidden="1"/>
    </xf>
    <xf numFmtId="4" fontId="22" fillId="0" borderId="0" xfId="0" applyNumberFormat="1" applyFont="1" applyAlignment="1" applyProtection="1">
      <alignment horizontal="right"/>
      <protection hidden="1"/>
    </xf>
    <xf numFmtId="4" fontId="22" fillId="0" borderId="0" xfId="0" applyNumberFormat="1" applyFont="1" applyAlignment="1" applyProtection="1">
      <alignment/>
      <protection hidden="1"/>
    </xf>
    <xf numFmtId="4" fontId="31" fillId="0" borderId="20" xfId="0" applyNumberFormat="1" applyFont="1" applyBorder="1" applyAlignment="1" applyProtection="1">
      <alignment/>
      <protection hidden="1"/>
    </xf>
    <xf numFmtId="4" fontId="31" fillId="0" borderId="20" xfId="0" applyNumberFormat="1" applyFont="1" applyBorder="1" applyAlignment="1" applyProtection="1">
      <alignment horizontal="center"/>
      <protection hidden="1"/>
    </xf>
    <xf numFmtId="4" fontId="22" fillId="0" borderId="21" xfId="0" applyNumberFormat="1" applyFont="1" applyBorder="1" applyAlignment="1" applyProtection="1">
      <alignment horizontal="center"/>
      <protection hidden="1"/>
    </xf>
    <xf numFmtId="4" fontId="16" fillId="3" borderId="0" xfId="0" applyNumberFormat="1" applyFont="1" applyFill="1" applyAlignment="1" applyProtection="1">
      <alignment/>
      <protection hidden="1"/>
    </xf>
    <xf numFmtId="4" fontId="16" fillId="3" borderId="0" xfId="0" applyNumberFormat="1" applyFont="1" applyFill="1" applyAlignment="1" applyProtection="1">
      <alignment horizontal="center"/>
      <protection hidden="1"/>
    </xf>
    <xf numFmtId="0" fontId="15" fillId="3" borderId="6" xfId="0" applyFont="1" applyFill="1" applyBorder="1" applyAlignment="1" applyProtection="1">
      <alignment horizontal="center"/>
      <protection hidden="1"/>
    </xf>
    <xf numFmtId="0" fontId="16" fillId="10" borderId="22" xfId="0" applyFont="1" applyFill="1" applyBorder="1" applyAlignment="1" applyProtection="1">
      <alignment horizontal="center"/>
      <protection hidden="1"/>
    </xf>
    <xf numFmtId="0" fontId="16" fillId="11" borderId="23" xfId="0" applyFont="1" applyFill="1" applyBorder="1" applyAlignment="1" applyProtection="1">
      <alignment horizontal="center"/>
      <protection hidden="1"/>
    </xf>
    <xf numFmtId="0" fontId="25" fillId="20" borderId="5" xfId="0" applyFont="1" applyFill="1" applyBorder="1" applyAlignment="1" applyProtection="1">
      <alignment horizontal="center" vertical="center"/>
      <protection hidden="1"/>
    </xf>
    <xf numFmtId="0" fontId="16" fillId="2" borderId="23" xfId="0" applyFont="1" applyFill="1" applyBorder="1" applyAlignment="1" applyProtection="1">
      <alignment horizontal="center"/>
      <protection hidden="1"/>
    </xf>
    <xf numFmtId="0" fontId="16" fillId="2" borderId="22" xfId="0" applyFont="1" applyFill="1" applyBorder="1" applyAlignment="1" applyProtection="1">
      <alignment horizontal="center"/>
      <protection hidden="1"/>
    </xf>
    <xf numFmtId="4" fontId="15" fillId="3" borderId="24" xfId="0" applyNumberFormat="1" applyFont="1" applyFill="1" applyBorder="1" applyAlignment="1" applyProtection="1">
      <alignment horizontal="center" vertical="center"/>
      <protection hidden="1"/>
    </xf>
    <xf numFmtId="4" fontId="15" fillId="3" borderId="24" xfId="0" applyNumberFormat="1" applyFont="1" applyFill="1" applyBorder="1" applyAlignment="1" applyProtection="1">
      <alignment horizontal="center" vertical="center" wrapText="1"/>
      <protection hidden="1"/>
    </xf>
    <xf numFmtId="0" fontId="16" fillId="10" borderId="23" xfId="0" applyFont="1" applyFill="1" applyBorder="1" applyAlignment="1" applyProtection="1">
      <alignment horizontal="center"/>
      <protection hidden="1"/>
    </xf>
    <xf numFmtId="4" fontId="15" fillId="3" borderId="0" xfId="0" applyNumberFormat="1" applyFont="1" applyFill="1" applyBorder="1" applyAlignment="1" applyProtection="1">
      <alignment horizontal="center" textRotation="90" wrapText="1"/>
      <protection hidden="1"/>
    </xf>
    <xf numFmtId="3" fontId="15" fillId="3" borderId="0" xfId="0" applyNumberFormat="1" applyFont="1" applyFill="1" applyBorder="1" applyAlignment="1" applyProtection="1">
      <alignment horizontal="center"/>
      <protection hidden="1"/>
    </xf>
    <xf numFmtId="0" fontId="32" fillId="3" borderId="0" xfId="0" applyFont="1" applyFill="1" applyBorder="1" applyAlignment="1" applyProtection="1">
      <alignment horizontal="center"/>
      <protection hidden="1"/>
    </xf>
    <xf numFmtId="0" fontId="15" fillId="3" borderId="24" xfId="0" applyFont="1" applyFill="1" applyBorder="1" applyAlignment="1" applyProtection="1">
      <alignment/>
      <protection hidden="1"/>
    </xf>
    <xf numFmtId="0" fontId="26" fillId="3" borderId="5" xfId="0" applyFont="1" applyFill="1" applyBorder="1" applyAlignment="1" applyProtection="1">
      <alignment/>
      <protection hidden="1"/>
    </xf>
    <xf numFmtId="0" fontId="0" fillId="3" borderId="5" xfId="0" applyFont="1" applyFill="1" applyBorder="1" applyAlignment="1" applyProtection="1">
      <alignment/>
      <protection hidden="1"/>
    </xf>
    <xf numFmtId="0" fontId="27" fillId="3" borderId="5" xfId="0" applyFont="1" applyFill="1" applyBorder="1" applyAlignment="1" applyProtection="1">
      <alignment horizontal="right"/>
      <protection hidden="1"/>
    </xf>
    <xf numFmtId="0" fontId="27" fillId="3" borderId="5" xfId="0" applyFont="1" applyFill="1" applyBorder="1" applyAlignment="1" applyProtection="1">
      <alignment/>
      <protection hidden="1"/>
    </xf>
    <xf numFmtId="0" fontId="0" fillId="3" borderId="25" xfId="0" applyFont="1" applyFill="1" applyBorder="1" applyAlignment="1" applyProtection="1">
      <alignment/>
      <protection hidden="1"/>
    </xf>
    <xf numFmtId="0" fontId="26" fillId="3" borderId="0" xfId="0" applyFont="1" applyFill="1" applyBorder="1" applyAlignment="1" applyProtection="1">
      <alignment/>
      <protection hidden="1"/>
    </xf>
    <xf numFmtId="0" fontId="0" fillId="3" borderId="6" xfId="0" applyFont="1" applyFill="1" applyBorder="1" applyAlignment="1" applyProtection="1">
      <alignment/>
      <protection hidden="1"/>
    </xf>
    <xf numFmtId="0" fontId="15" fillId="3" borderId="7" xfId="0" applyFont="1" applyFill="1" applyBorder="1" applyAlignment="1" applyProtection="1">
      <alignment horizontal="center"/>
      <protection hidden="1"/>
    </xf>
    <xf numFmtId="0" fontId="0" fillId="3" borderId="7" xfId="0" applyFont="1" applyFill="1" applyBorder="1" applyAlignment="1" applyProtection="1">
      <alignment/>
      <protection hidden="1"/>
    </xf>
    <xf numFmtId="0" fontId="15" fillId="3" borderId="7" xfId="0" applyFont="1" applyFill="1" applyBorder="1" applyAlignment="1" applyProtection="1">
      <alignment/>
      <protection hidden="1"/>
    </xf>
    <xf numFmtId="0" fontId="36" fillId="3" borderId="7" xfId="0" applyFont="1" applyFill="1" applyBorder="1" applyAlignment="1" applyProtection="1">
      <alignment vertical="center"/>
      <protection hidden="1"/>
    </xf>
    <xf numFmtId="4" fontId="15" fillId="3" borderId="0" xfId="0" applyNumberFormat="1" applyFont="1" applyFill="1" applyBorder="1" applyAlignment="1" applyProtection="1">
      <alignment/>
      <protection hidden="1"/>
    </xf>
    <xf numFmtId="0" fontId="22" fillId="3" borderId="0" xfId="0" applyFont="1" applyFill="1" applyBorder="1" applyAlignment="1" applyProtection="1">
      <alignment/>
      <protection hidden="1"/>
    </xf>
    <xf numFmtId="0" fontId="15" fillId="3" borderId="26" xfId="0" applyFont="1" applyFill="1" applyBorder="1" applyAlignment="1" applyProtection="1">
      <alignment/>
      <protection hidden="1"/>
    </xf>
    <xf numFmtId="4" fontId="15" fillId="3" borderId="0" xfId="23" applyNumberFormat="1" applyFont="1" applyFill="1" applyBorder="1" applyAlignment="1" applyProtection="1">
      <alignment/>
      <protection hidden="1"/>
    </xf>
    <xf numFmtId="0" fontId="15" fillId="3" borderId="27" xfId="0" applyFont="1" applyFill="1" applyBorder="1" applyAlignment="1" applyProtection="1">
      <alignment/>
      <protection hidden="1"/>
    </xf>
    <xf numFmtId="0" fontId="15" fillId="3" borderId="28" xfId="0" applyFont="1" applyFill="1" applyBorder="1" applyAlignment="1" applyProtection="1">
      <alignment horizontal="center"/>
      <protection hidden="1"/>
    </xf>
    <xf numFmtId="4" fontId="15" fillId="3" borderId="29" xfId="0" applyNumberFormat="1" applyFont="1" applyFill="1" applyBorder="1" applyAlignment="1" applyProtection="1">
      <alignment/>
      <protection hidden="1"/>
    </xf>
    <xf numFmtId="14" fontId="15" fillId="3" borderId="30" xfId="0" applyNumberFormat="1" applyFont="1" applyFill="1" applyBorder="1" applyAlignment="1" applyProtection="1">
      <alignment horizontal="center"/>
      <protection hidden="1"/>
    </xf>
    <xf numFmtId="14" fontId="15" fillId="3" borderId="0" xfId="0" applyNumberFormat="1" applyFont="1" applyFill="1" applyBorder="1" applyAlignment="1" applyProtection="1">
      <alignment horizontal="center"/>
      <protection hidden="1"/>
    </xf>
    <xf numFmtId="0" fontId="15" fillId="3" borderId="6" xfId="0" applyFont="1" applyFill="1" applyBorder="1" applyAlignment="1" applyProtection="1">
      <alignment/>
      <protection hidden="1"/>
    </xf>
    <xf numFmtId="0" fontId="15" fillId="3" borderId="31" xfId="0" applyFont="1" applyFill="1" applyBorder="1" applyAlignment="1" applyProtection="1">
      <alignment/>
      <protection hidden="1"/>
    </xf>
    <xf numFmtId="4" fontId="15" fillId="3" borderId="24" xfId="0" applyNumberFormat="1" applyFont="1" applyFill="1" applyBorder="1" applyAlignment="1" applyProtection="1">
      <alignment vertical="center"/>
      <protection hidden="1"/>
    </xf>
    <xf numFmtId="0" fontId="16" fillId="3" borderId="7" xfId="0" applyFont="1" applyFill="1" applyBorder="1" applyAlignment="1" applyProtection="1">
      <alignment/>
      <protection hidden="1"/>
    </xf>
    <xf numFmtId="9" fontId="15" fillId="3" borderId="32" xfId="23" applyFont="1" applyFill="1" applyBorder="1" applyAlignment="1" applyProtection="1">
      <alignment horizontal="center"/>
      <protection hidden="1"/>
    </xf>
    <xf numFmtId="4" fontId="15" fillId="3" borderId="6" xfId="0" applyNumberFormat="1" applyFont="1" applyFill="1" applyBorder="1" applyAlignment="1" applyProtection="1">
      <alignment vertical="center"/>
      <protection hidden="1"/>
    </xf>
    <xf numFmtId="4" fontId="15" fillId="3" borderId="33" xfId="0" applyNumberFormat="1" applyFont="1" applyFill="1" applyBorder="1" applyAlignment="1" applyProtection="1">
      <alignment vertical="center"/>
      <protection hidden="1"/>
    </xf>
    <xf numFmtId="4" fontId="15" fillId="3" borderId="31" xfId="0" applyNumberFormat="1" applyFont="1" applyFill="1" applyBorder="1" applyAlignment="1" applyProtection="1">
      <alignment horizontal="center" vertical="center"/>
      <protection hidden="1"/>
    </xf>
    <xf numFmtId="4" fontId="15" fillId="3" borderId="0" xfId="0" applyNumberFormat="1" applyFont="1" applyFill="1" applyBorder="1" applyAlignment="1" applyProtection="1">
      <alignment wrapText="1"/>
      <protection hidden="1"/>
    </xf>
    <xf numFmtId="4" fontId="15" fillId="3" borderId="0" xfId="0" applyNumberFormat="1" applyFont="1" applyFill="1" applyBorder="1" applyAlignment="1" applyProtection="1">
      <alignment horizontal="center" vertical="center" wrapText="1"/>
      <protection hidden="1"/>
    </xf>
    <xf numFmtId="4" fontId="15" fillId="3" borderId="34" xfId="0" applyNumberFormat="1" applyFont="1" applyFill="1" applyBorder="1" applyAlignment="1" applyProtection="1">
      <alignment vertical="center"/>
      <protection hidden="1"/>
    </xf>
    <xf numFmtId="4" fontId="15" fillId="3" borderId="6" xfId="0" applyNumberFormat="1" applyFont="1" applyFill="1" applyBorder="1" applyAlignment="1" applyProtection="1">
      <alignment horizontal="center"/>
      <protection hidden="1"/>
    </xf>
    <xf numFmtId="0" fontId="15" fillId="3" borderId="35" xfId="0" applyFont="1" applyFill="1" applyBorder="1" applyAlignment="1" applyProtection="1">
      <alignment/>
      <protection hidden="1"/>
    </xf>
    <xf numFmtId="0" fontId="15" fillId="3" borderId="36" xfId="0" applyFont="1" applyFill="1" applyBorder="1" applyAlignment="1" applyProtection="1">
      <alignment horizontal="center"/>
      <protection hidden="1"/>
    </xf>
    <xf numFmtId="0" fontId="15" fillId="3" borderId="36" xfId="0" applyFont="1" applyFill="1" applyBorder="1" applyAlignment="1" applyProtection="1">
      <alignment horizontal="right"/>
      <protection hidden="1"/>
    </xf>
    <xf numFmtId="4" fontId="15" fillId="3" borderId="25" xfId="0" applyNumberFormat="1" applyFont="1" applyFill="1" applyBorder="1" applyAlignment="1" applyProtection="1">
      <alignment horizontal="center" textRotation="90" wrapText="1"/>
      <protection hidden="1"/>
    </xf>
    <xf numFmtId="0" fontId="15" fillId="3" borderId="6" xfId="0" applyFont="1" applyFill="1" applyBorder="1" applyAlignment="1" applyProtection="1">
      <alignment horizontal="center" vertical="center"/>
      <protection hidden="1"/>
    </xf>
    <xf numFmtId="4" fontId="15" fillId="3" borderId="25" xfId="0" applyNumberFormat="1" applyFont="1" applyFill="1" applyBorder="1" applyAlignment="1" applyProtection="1">
      <alignment horizontal="center"/>
      <protection hidden="1"/>
    </xf>
    <xf numFmtId="4" fontId="15" fillId="3" borderId="5" xfId="0" applyNumberFormat="1" applyFont="1" applyFill="1" applyBorder="1" applyAlignment="1" applyProtection="1">
      <alignment horizontal="center" textRotation="90" wrapText="1"/>
      <protection hidden="1"/>
    </xf>
    <xf numFmtId="4" fontId="16" fillId="3" borderId="5" xfId="0" applyNumberFormat="1" applyFont="1" applyFill="1" applyBorder="1" applyAlignment="1" applyProtection="1">
      <alignment horizontal="center" wrapText="1"/>
      <protection hidden="1"/>
    </xf>
    <xf numFmtId="4" fontId="15" fillId="3" borderId="0" xfId="0" applyNumberFormat="1" applyFont="1" applyFill="1" applyBorder="1" applyAlignment="1" applyProtection="1">
      <alignment horizontal="center" vertical="center"/>
      <protection hidden="1"/>
    </xf>
    <xf numFmtId="9" fontId="15" fillId="3" borderId="37" xfId="0" applyNumberFormat="1" applyFont="1" applyFill="1" applyBorder="1" applyAlignment="1" applyProtection="1">
      <alignment horizontal="center" vertical="center"/>
      <protection hidden="1"/>
    </xf>
    <xf numFmtId="9" fontId="15" fillId="3" borderId="2" xfId="0" applyNumberFormat="1" applyFont="1" applyFill="1" applyBorder="1" applyAlignment="1" applyProtection="1">
      <alignment horizontal="center" vertical="center"/>
      <protection hidden="1"/>
    </xf>
    <xf numFmtId="0" fontId="15" fillId="3" borderId="30" xfId="0" applyFont="1" applyFill="1" applyBorder="1" applyAlignment="1" applyProtection="1">
      <alignment horizontal="center"/>
      <protection hidden="1"/>
    </xf>
    <xf numFmtId="9" fontId="16" fillId="10" borderId="0" xfId="0" applyNumberFormat="1" applyFont="1" applyFill="1" applyBorder="1" applyAlignment="1" applyProtection="1">
      <alignment horizontal="center"/>
      <protection hidden="1"/>
    </xf>
    <xf numFmtId="9" fontId="16" fillId="2" borderId="0" xfId="0" applyNumberFormat="1" applyFont="1" applyFill="1" applyBorder="1" applyAlignment="1" applyProtection="1">
      <alignment horizontal="center"/>
      <protection hidden="1"/>
    </xf>
    <xf numFmtId="9" fontId="16" fillId="11" borderId="0" xfId="0" applyNumberFormat="1" applyFont="1" applyFill="1" applyBorder="1" applyAlignment="1" applyProtection="1">
      <alignment horizontal="center"/>
      <protection hidden="1"/>
    </xf>
    <xf numFmtId="4" fontId="23" fillId="11" borderId="0" xfId="0" applyNumberFormat="1" applyFont="1" applyFill="1" applyBorder="1" applyAlignment="1" applyProtection="1">
      <alignment horizontal="center"/>
      <protection hidden="1"/>
    </xf>
    <xf numFmtId="0" fontId="23" fillId="2" borderId="0" xfId="0" applyFont="1" applyFill="1" applyAlignment="1" applyProtection="1">
      <alignment horizontal="right"/>
      <protection hidden="1"/>
    </xf>
    <xf numFmtId="0" fontId="16" fillId="2" borderId="13" xfId="0" applyFont="1" applyFill="1" applyBorder="1" applyAlignment="1" applyProtection="1">
      <alignment horizontal="center"/>
      <protection hidden="1"/>
    </xf>
    <xf numFmtId="4" fontId="22" fillId="0" borderId="38" xfId="0" applyNumberFormat="1" applyFont="1" applyBorder="1" applyAlignment="1" applyProtection="1">
      <alignment/>
      <protection hidden="1"/>
    </xf>
    <xf numFmtId="4" fontId="31" fillId="0" borderId="38" xfId="0" applyNumberFormat="1" applyFont="1" applyBorder="1" applyAlignment="1" applyProtection="1">
      <alignment/>
      <protection hidden="1"/>
    </xf>
    <xf numFmtId="4" fontId="15" fillId="16" borderId="3" xfId="23" applyNumberFormat="1" applyFont="1" applyFill="1" applyBorder="1" applyAlignment="1" applyProtection="1">
      <alignment/>
      <protection hidden="1"/>
    </xf>
    <xf numFmtId="4" fontId="15" fillId="16" borderId="15" xfId="23" applyNumberFormat="1" applyFont="1" applyFill="1" applyBorder="1" applyAlignment="1" applyProtection="1">
      <alignment/>
      <protection hidden="1"/>
    </xf>
    <xf numFmtId="0" fontId="26" fillId="0" borderId="0" xfId="0" applyFont="1" applyAlignment="1" applyProtection="1" quotePrefix="1">
      <alignment horizontal="center" vertical="center"/>
      <protection hidden="1"/>
    </xf>
    <xf numFmtId="0" fontId="16" fillId="10" borderId="13" xfId="0" applyFont="1" applyFill="1" applyBorder="1" applyAlignment="1" applyProtection="1">
      <alignment horizontal="center"/>
      <protection hidden="1"/>
    </xf>
    <xf numFmtId="4" fontId="22" fillId="3" borderId="24" xfId="0" applyNumberFormat="1" applyFont="1" applyFill="1" applyBorder="1" applyAlignment="1" applyProtection="1">
      <alignment horizontal="center" vertical="center" wrapText="1"/>
      <protection hidden="1"/>
    </xf>
    <xf numFmtId="0" fontId="23" fillId="11" borderId="0" xfId="0" applyFont="1" applyFill="1" applyAlignment="1" applyProtection="1">
      <alignment horizontal="right"/>
      <protection hidden="1"/>
    </xf>
    <xf numFmtId="9" fontId="15" fillId="3" borderId="39" xfId="23" applyFont="1" applyFill="1" applyBorder="1" applyAlignment="1" applyProtection="1">
      <alignment horizontal="center"/>
      <protection hidden="1"/>
    </xf>
    <xf numFmtId="172" fontId="18" fillId="2" borderId="5" xfId="0" applyNumberFormat="1" applyFont="1" applyFill="1" applyBorder="1" applyAlignment="1" applyProtection="1">
      <alignment horizontal="center" vertical="center"/>
      <protection hidden="1"/>
    </xf>
    <xf numFmtId="172" fontId="18" fillId="10" borderId="5" xfId="0" applyNumberFormat="1" applyFont="1" applyFill="1" applyBorder="1" applyAlignment="1" applyProtection="1">
      <alignment horizontal="center" vertical="center"/>
      <protection hidden="1"/>
    </xf>
    <xf numFmtId="0" fontId="23" fillId="10" borderId="0" xfId="0" applyFont="1" applyFill="1" applyAlignment="1" applyProtection="1">
      <alignment horizontal="right"/>
      <protection hidden="1"/>
    </xf>
    <xf numFmtId="9" fontId="15" fillId="3" borderId="40" xfId="23" applyFont="1" applyFill="1" applyBorder="1" applyAlignment="1" applyProtection="1">
      <alignment horizontal="center"/>
      <protection hidden="1"/>
    </xf>
    <xf numFmtId="9" fontId="15" fillId="3" borderId="41" xfId="23" applyFont="1" applyFill="1" applyBorder="1" applyAlignment="1" applyProtection="1">
      <alignment horizontal="center"/>
      <protection hidden="1"/>
    </xf>
    <xf numFmtId="172" fontId="18" fillId="11" borderId="5" xfId="0" applyNumberFormat="1" applyFont="1" applyFill="1" applyBorder="1" applyAlignment="1" applyProtection="1">
      <alignment horizontal="center" vertical="center"/>
      <protection hidden="1"/>
    </xf>
    <xf numFmtId="4" fontId="15" fillId="11" borderId="5" xfId="0" applyNumberFormat="1" applyFont="1" applyFill="1" applyBorder="1" applyAlignment="1" applyProtection="1">
      <alignment horizontal="center" vertical="center" wrapText="1"/>
      <protection hidden="1"/>
    </xf>
    <xf numFmtId="4" fontId="15" fillId="11" borderId="0" xfId="0" applyNumberFormat="1" applyFont="1" applyFill="1" applyBorder="1" applyAlignment="1" applyProtection="1">
      <alignment horizontal="center" wrapText="1"/>
      <protection hidden="1"/>
    </xf>
    <xf numFmtId="0" fontId="15" fillId="3" borderId="0" xfId="0" applyFont="1" applyFill="1" applyBorder="1" applyAlignment="1" applyProtection="1">
      <alignment horizontal="left"/>
      <protection hidden="1"/>
    </xf>
    <xf numFmtId="4" fontId="31" fillId="2" borderId="0" xfId="0" applyNumberFormat="1" applyFont="1" applyFill="1" applyBorder="1" applyAlignment="1" applyProtection="1">
      <alignment/>
      <protection hidden="1"/>
    </xf>
    <xf numFmtId="4" fontId="31" fillId="10" borderId="0" xfId="0" applyNumberFormat="1" applyFont="1" applyFill="1" applyBorder="1" applyAlignment="1" applyProtection="1">
      <alignment/>
      <protection hidden="1"/>
    </xf>
    <xf numFmtId="4" fontId="31" fillId="11" borderId="0" xfId="0" applyNumberFormat="1" applyFont="1" applyFill="1" applyBorder="1" applyAlignment="1" applyProtection="1">
      <alignment/>
      <protection hidden="1"/>
    </xf>
    <xf numFmtId="4" fontId="37" fillId="11" borderId="0" xfId="0" applyNumberFormat="1" applyFont="1" applyFill="1" applyBorder="1" applyAlignment="1" applyProtection="1">
      <alignment horizontal="left"/>
      <protection hidden="1"/>
    </xf>
    <xf numFmtId="4" fontId="23" fillId="11" borderId="0" xfId="0" applyNumberFormat="1" applyFont="1" applyFill="1" applyBorder="1" applyAlignment="1" applyProtection="1">
      <alignment horizontal="right"/>
      <protection hidden="1"/>
    </xf>
    <xf numFmtId="4" fontId="23" fillId="2" borderId="0" xfId="0" applyNumberFormat="1" applyFont="1" applyFill="1" applyBorder="1" applyAlignment="1" applyProtection="1">
      <alignment horizontal="right"/>
      <protection hidden="1"/>
    </xf>
    <xf numFmtId="4" fontId="23" fillId="10" borderId="0" xfId="0" applyNumberFormat="1" applyFont="1" applyFill="1" applyBorder="1" applyAlignment="1" applyProtection="1">
      <alignment horizontal="right"/>
      <protection hidden="1"/>
    </xf>
    <xf numFmtId="49" fontId="18" fillId="3" borderId="0" xfId="0" applyNumberFormat="1" applyFont="1" applyFill="1" applyAlignment="1" applyProtection="1">
      <alignment horizontal="right"/>
      <protection hidden="1"/>
    </xf>
    <xf numFmtId="204" fontId="15" fillId="0" borderId="38" xfId="0" applyNumberFormat="1" applyFont="1" applyBorder="1" applyAlignment="1" applyProtection="1">
      <alignment/>
      <protection hidden="1"/>
    </xf>
    <xf numFmtId="0" fontId="15" fillId="3" borderId="8" xfId="0" applyFont="1" applyFill="1" applyBorder="1" applyAlignment="1" applyProtection="1">
      <alignment horizontal="center"/>
      <protection hidden="1"/>
    </xf>
    <xf numFmtId="0" fontId="0" fillId="11" borderId="0" xfId="0" applyFont="1" applyFill="1" applyAlignment="1" applyProtection="1">
      <alignment/>
      <protection hidden="1"/>
    </xf>
    <xf numFmtId="0" fontId="22" fillId="3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29" fillId="3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Alignment="1" applyProtection="1">
      <alignment/>
      <protection hidden="1"/>
    </xf>
    <xf numFmtId="0" fontId="0" fillId="10" borderId="0" xfId="0" applyFont="1" applyFill="1" applyAlignment="1" applyProtection="1">
      <alignment/>
      <protection hidden="1"/>
    </xf>
    <xf numFmtId="9" fontId="22" fillId="10" borderId="0" xfId="0" applyNumberFormat="1" applyFont="1" applyFill="1" applyAlignment="1" applyProtection="1">
      <alignment/>
      <protection hidden="1"/>
    </xf>
    <xf numFmtId="0" fontId="15" fillId="3" borderId="8" xfId="0" applyFont="1" applyFill="1" applyBorder="1" applyAlignment="1" applyProtection="1">
      <alignment/>
      <protection hidden="1"/>
    </xf>
    <xf numFmtId="0" fontId="16" fillId="3" borderId="0" xfId="0" applyFont="1" applyFill="1" applyBorder="1" applyAlignment="1" applyProtection="1">
      <alignment/>
      <protection hidden="1"/>
    </xf>
    <xf numFmtId="9" fontId="22" fillId="0" borderId="0" xfId="0" applyNumberFormat="1" applyFont="1" applyAlignment="1">
      <alignment horizontal="center"/>
    </xf>
    <xf numFmtId="9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center"/>
    </xf>
    <xf numFmtId="0" fontId="15" fillId="3" borderId="42" xfId="0" applyFont="1" applyFill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right"/>
      <protection hidden="1"/>
    </xf>
    <xf numFmtId="14" fontId="15" fillId="0" borderId="35" xfId="0" applyNumberFormat="1" applyFont="1" applyFill="1" applyBorder="1" applyAlignment="1" applyProtection="1">
      <alignment horizontal="center"/>
      <protection locked="0"/>
    </xf>
    <xf numFmtId="9" fontId="15" fillId="0" borderId="43" xfId="23" applyFont="1" applyFill="1" applyBorder="1" applyAlignment="1" applyProtection="1">
      <alignment horizontal="center"/>
      <protection locked="0"/>
    </xf>
    <xf numFmtId="0" fontId="29" fillId="12" borderId="17" xfId="0" applyFont="1" applyFill="1" applyBorder="1" applyAlignment="1" applyProtection="1">
      <alignment horizontal="center"/>
      <protection hidden="1"/>
    </xf>
    <xf numFmtId="4" fontId="15" fillId="0" borderId="44" xfId="0" applyNumberFormat="1" applyFont="1" applyFill="1" applyBorder="1" applyAlignment="1" applyProtection="1">
      <alignment/>
      <protection locked="0"/>
    </xf>
    <xf numFmtId="0" fontId="15" fillId="0" borderId="43" xfId="0" applyFont="1" applyFill="1" applyBorder="1" applyAlignment="1" applyProtection="1">
      <alignment horizontal="center"/>
      <protection locked="0"/>
    </xf>
    <xf numFmtId="14" fontId="0" fillId="0" borderId="35" xfId="0" applyNumberFormat="1" applyFont="1" applyFill="1" applyBorder="1" applyAlignment="1" applyProtection="1">
      <alignment horizontal="center"/>
      <protection locked="0"/>
    </xf>
    <xf numFmtId="9" fontId="15" fillId="0" borderId="43" xfId="0" applyNumberFormat="1" applyFont="1" applyFill="1" applyBorder="1" applyAlignment="1" applyProtection="1">
      <alignment horizontal="center"/>
      <protection locked="0"/>
    </xf>
    <xf numFmtId="14" fontId="15" fillId="0" borderId="43" xfId="0" applyNumberFormat="1" applyFont="1" applyFill="1" applyBorder="1" applyAlignment="1" applyProtection="1">
      <alignment horizontal="center"/>
      <protection locked="0"/>
    </xf>
    <xf numFmtId="0" fontId="15" fillId="0" borderId="45" xfId="0" applyFont="1" applyFill="1" applyBorder="1" applyAlignment="1" applyProtection="1">
      <alignment horizontal="center"/>
      <protection locked="0"/>
    </xf>
    <xf numFmtId="4" fontId="15" fillId="0" borderId="43" xfId="0" applyNumberFormat="1" applyFont="1" applyFill="1" applyBorder="1" applyAlignment="1" applyProtection="1">
      <alignment/>
      <protection locked="0"/>
    </xf>
    <xf numFmtId="9" fontId="38" fillId="4" borderId="0" xfId="0" applyNumberFormat="1" applyFont="1" applyFill="1" applyAlignment="1" applyProtection="1">
      <alignment/>
      <protection hidden="1"/>
    </xf>
    <xf numFmtId="9" fontId="38" fillId="10" borderId="0" xfId="0" applyNumberFormat="1" applyFont="1" applyFill="1" applyAlignment="1" applyProtection="1">
      <alignment/>
      <protection hidden="1"/>
    </xf>
    <xf numFmtId="3" fontId="15" fillId="3" borderId="0" xfId="0" applyNumberFormat="1" applyFont="1" applyFill="1" applyBorder="1" applyAlignment="1" applyProtection="1">
      <alignment horizontal="center" wrapText="1"/>
      <protection hidden="1"/>
    </xf>
    <xf numFmtId="10" fontId="16" fillId="2" borderId="0" xfId="0" applyNumberFormat="1" applyFont="1" applyFill="1" applyBorder="1" applyAlignment="1" applyProtection="1">
      <alignment horizontal="center"/>
      <protection hidden="1"/>
    </xf>
    <xf numFmtId="172" fontId="39" fillId="3" borderId="0" xfId="23" applyNumberFormat="1" applyFont="1" applyFill="1" applyBorder="1" applyAlignment="1" applyProtection="1">
      <alignment horizontal="center"/>
      <protection hidden="1"/>
    </xf>
    <xf numFmtId="172" fontId="18" fillId="3" borderId="0" xfId="0" applyNumberFormat="1" applyFont="1" applyFill="1" applyBorder="1" applyAlignment="1" applyProtection="1">
      <alignment/>
      <protection hidden="1"/>
    </xf>
    <xf numFmtId="172" fontId="16" fillId="11" borderId="0" xfId="0" applyNumberFormat="1" applyFont="1" applyFill="1" applyBorder="1" applyAlignment="1" applyProtection="1">
      <alignment horizontal="center"/>
      <protection hidden="1"/>
    </xf>
    <xf numFmtId="14" fontId="22" fillId="10" borderId="0" xfId="0" applyNumberFormat="1" applyFont="1" applyFill="1" applyAlignment="1" applyProtection="1">
      <alignment horizontal="center"/>
      <protection hidden="1"/>
    </xf>
    <xf numFmtId="14" fontId="22" fillId="2" borderId="0" xfId="0" applyNumberFormat="1" applyFont="1" applyFill="1" applyAlignment="1" applyProtection="1">
      <alignment horizontal="center"/>
      <protection hidden="1"/>
    </xf>
    <xf numFmtId="4" fontId="15" fillId="18" borderId="15" xfId="23" applyNumberFormat="1" applyFont="1" applyFill="1" applyBorder="1" applyAlignment="1" applyProtection="1">
      <alignment/>
      <protection hidden="1"/>
    </xf>
    <xf numFmtId="4" fontId="15" fillId="18" borderId="38" xfId="23" applyNumberFormat="1" applyFont="1" applyFill="1" applyBorder="1" applyAlignment="1" applyProtection="1">
      <alignment/>
      <protection hidden="1"/>
    </xf>
    <xf numFmtId="9" fontId="15" fillId="3" borderId="0" xfId="0" applyNumberFormat="1" applyFont="1" applyFill="1" applyBorder="1" applyAlignment="1" applyProtection="1">
      <alignment/>
      <protection hidden="1"/>
    </xf>
    <xf numFmtId="4" fontId="0" fillId="0" borderId="46" xfId="0" applyNumberFormat="1" applyFont="1" applyBorder="1" applyAlignment="1" applyProtection="1">
      <alignment/>
      <protection hidden="1"/>
    </xf>
    <xf numFmtId="4" fontId="0" fillId="0" borderId="19" xfId="0" applyNumberFormat="1" applyFont="1" applyBorder="1" applyAlignment="1" applyProtection="1">
      <alignment/>
      <protection hidden="1"/>
    </xf>
    <xf numFmtId="176" fontId="22" fillId="0" borderId="0" xfId="0" applyNumberFormat="1" applyFont="1" applyAlignment="1" applyProtection="1">
      <alignment/>
      <protection hidden="1"/>
    </xf>
    <xf numFmtId="9" fontId="15" fillId="0" borderId="0" xfId="23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1" fontId="22" fillId="0" borderId="0" xfId="0" applyNumberFormat="1" applyFont="1" applyAlignment="1" applyProtection="1">
      <alignment horizontal="center"/>
      <protection hidden="1"/>
    </xf>
    <xf numFmtId="1" fontId="22" fillId="3" borderId="0" xfId="0" applyNumberFormat="1" applyFont="1" applyFill="1" applyAlignment="1" applyProtection="1">
      <alignment horizontal="center"/>
      <protection hidden="1"/>
    </xf>
    <xf numFmtId="1" fontId="22" fillId="10" borderId="0" xfId="0" applyNumberFormat="1" applyFont="1" applyFill="1" applyAlignment="1" applyProtection="1">
      <alignment horizontal="center"/>
      <protection hidden="1"/>
    </xf>
    <xf numFmtId="9" fontId="22" fillId="6" borderId="3" xfId="0" applyNumberFormat="1" applyFont="1" applyFill="1" applyBorder="1" applyAlignment="1" applyProtection="1">
      <alignment horizontal="center" vertical="center"/>
      <protection hidden="1"/>
    </xf>
    <xf numFmtId="4" fontId="15" fillId="6" borderId="3" xfId="23" applyNumberFormat="1" applyFont="1" applyFill="1" applyBorder="1" applyAlignment="1" applyProtection="1">
      <alignment/>
      <protection hidden="1"/>
    </xf>
    <xf numFmtId="14" fontId="22" fillId="11" borderId="0" xfId="0" applyNumberFormat="1" applyFont="1" applyFill="1" applyAlignment="1" applyProtection="1">
      <alignment horizontal="center"/>
      <protection hidden="1"/>
    </xf>
    <xf numFmtId="0" fontId="22" fillId="3" borderId="47" xfId="0" applyFont="1" applyFill="1" applyBorder="1" applyAlignment="1" applyProtection="1">
      <alignment horizontal="center"/>
      <protection hidden="1"/>
    </xf>
    <xf numFmtId="9" fontId="22" fillId="0" borderId="0" xfId="0" applyNumberFormat="1" applyFont="1" applyAlignment="1" applyProtection="1">
      <alignment horizontal="right"/>
      <protection hidden="1"/>
    </xf>
    <xf numFmtId="203" fontId="22" fillId="0" borderId="0" xfId="0" applyNumberFormat="1" applyFont="1" applyAlignment="1" applyProtection="1">
      <alignment horizontal="center"/>
      <protection hidden="1"/>
    </xf>
    <xf numFmtId="203" fontId="22" fillId="3" borderId="0" xfId="0" applyNumberFormat="1" applyFont="1" applyFill="1" applyAlignment="1" applyProtection="1">
      <alignment/>
      <protection hidden="1"/>
    </xf>
    <xf numFmtId="49" fontId="15" fillId="11" borderId="6" xfId="0" applyNumberFormat="1" applyFont="1" applyFill="1" applyBorder="1" applyAlignment="1" applyProtection="1">
      <alignment horizontal="center"/>
      <protection hidden="1"/>
    </xf>
    <xf numFmtId="0" fontId="15" fillId="11" borderId="6" xfId="0" applyNumberFormat="1" applyFont="1" applyFill="1" applyBorder="1" applyAlignment="1" applyProtection="1">
      <alignment horizontal="center"/>
      <protection hidden="1"/>
    </xf>
    <xf numFmtId="9" fontId="15" fillId="3" borderId="48" xfId="23" applyFont="1" applyFill="1" applyBorder="1" applyAlignment="1" applyProtection="1">
      <alignment horizontal="center"/>
      <protection hidden="1"/>
    </xf>
    <xf numFmtId="0" fontId="29" fillId="12" borderId="0" xfId="0" applyFont="1" applyFill="1" applyBorder="1" applyAlignment="1" applyProtection="1">
      <alignment horizontal="center"/>
      <protection hidden="1"/>
    </xf>
    <xf numFmtId="172" fontId="41" fillId="3" borderId="0" xfId="23" applyNumberFormat="1" applyFont="1" applyFill="1" applyBorder="1" applyAlignment="1" applyProtection="1">
      <alignment horizontal="center"/>
      <protection hidden="1"/>
    </xf>
    <xf numFmtId="204" fontId="26" fillId="0" borderId="0" xfId="0" applyNumberFormat="1" applyFont="1" applyAlignment="1" applyProtection="1" quotePrefix="1">
      <alignment horizontal="center" vertical="center"/>
      <protection hidden="1"/>
    </xf>
    <xf numFmtId="208" fontId="15" fillId="11" borderId="11" xfId="23" applyNumberFormat="1" applyFont="1" applyFill="1" applyBorder="1" applyAlignment="1" applyProtection="1">
      <alignment/>
      <protection hidden="1"/>
    </xf>
    <xf numFmtId="0" fontId="31" fillId="3" borderId="0" xfId="0" applyFont="1" applyFill="1" applyAlignment="1" applyProtection="1">
      <alignment horizontal="center"/>
      <protection hidden="1"/>
    </xf>
    <xf numFmtId="1" fontId="22" fillId="0" borderId="0" xfId="0" applyNumberFormat="1" applyFont="1" applyAlignment="1" applyProtection="1">
      <alignment horizontal="center" textRotation="90"/>
      <protection hidden="1"/>
    </xf>
    <xf numFmtId="0" fontId="16" fillId="3" borderId="0" xfId="0" applyFont="1" applyFill="1" applyBorder="1" applyAlignment="1" applyProtection="1">
      <alignment horizontal="right"/>
      <protection hidden="1"/>
    </xf>
    <xf numFmtId="4" fontId="22" fillId="3" borderId="0" xfId="0" applyNumberFormat="1" applyFont="1" applyFill="1" applyBorder="1" applyAlignment="1" applyProtection="1">
      <alignment horizontal="center"/>
      <protection hidden="1"/>
    </xf>
    <xf numFmtId="4" fontId="22" fillId="3" borderId="0" xfId="0" applyNumberFormat="1" applyFont="1" applyFill="1" applyBorder="1" applyAlignment="1" applyProtection="1">
      <alignment/>
      <protection hidden="1"/>
    </xf>
    <xf numFmtId="0" fontId="15" fillId="3" borderId="11" xfId="0" applyFont="1" applyFill="1" applyBorder="1" applyAlignment="1" applyProtection="1">
      <alignment horizontal="center"/>
      <protection hidden="1"/>
    </xf>
    <xf numFmtId="9" fontId="22" fillId="3" borderId="12" xfId="0" applyNumberFormat="1" applyFont="1" applyFill="1" applyBorder="1" applyAlignment="1" applyProtection="1">
      <alignment/>
      <protection hidden="1"/>
    </xf>
    <xf numFmtId="9" fontId="22" fillId="3" borderId="11" xfId="0" applyNumberFormat="1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9" fontId="22" fillId="3" borderId="11" xfId="0" applyNumberFormat="1" applyFont="1" applyFill="1" applyBorder="1" applyAlignment="1" applyProtection="1">
      <alignment horizontal="center"/>
      <protection hidden="1"/>
    </xf>
    <xf numFmtId="9" fontId="38" fillId="2" borderId="0" xfId="0" applyNumberFormat="1" applyFont="1" applyFill="1" applyAlignment="1" applyProtection="1">
      <alignment horizontal="center"/>
      <protection hidden="1"/>
    </xf>
    <xf numFmtId="211" fontId="15" fillId="2" borderId="0" xfId="0" applyNumberFormat="1" applyFont="1" applyFill="1" applyBorder="1" applyAlignment="1" applyProtection="1">
      <alignment horizontal="center" wrapText="1"/>
      <protection hidden="1"/>
    </xf>
    <xf numFmtId="207" fontId="15" fillId="3" borderId="0" xfId="0" applyNumberFormat="1" applyFont="1" applyFill="1" applyBorder="1" applyAlignment="1" applyProtection="1">
      <alignment horizontal="center"/>
      <protection hidden="1"/>
    </xf>
    <xf numFmtId="203" fontId="0" fillId="0" borderId="0" xfId="0" applyNumberFormat="1" applyFont="1" applyAlignment="1" applyProtection="1">
      <alignment horizontal="center"/>
      <protection hidden="1"/>
    </xf>
    <xf numFmtId="0" fontId="33" fillId="3" borderId="0" xfId="0" applyFont="1" applyFill="1" applyBorder="1" applyAlignment="1" applyProtection="1">
      <alignment/>
      <protection hidden="1"/>
    </xf>
    <xf numFmtId="211" fontId="15" fillId="10" borderId="0" xfId="0" applyNumberFormat="1" applyFont="1" applyFill="1" applyBorder="1" applyAlignment="1" applyProtection="1">
      <alignment horizontal="center" wrapText="1"/>
      <protection hidden="1"/>
    </xf>
    <xf numFmtId="176" fontId="22" fillId="3" borderId="0" xfId="0" applyNumberFormat="1" applyFont="1" applyFill="1" applyAlignment="1" applyProtection="1">
      <alignment horizontal="center"/>
      <protection hidden="1"/>
    </xf>
    <xf numFmtId="204" fontId="15" fillId="0" borderId="0" xfId="0" applyNumberFormat="1" applyFont="1" applyAlignment="1" applyProtection="1">
      <alignment/>
      <protection hidden="1"/>
    </xf>
    <xf numFmtId="9" fontId="22" fillId="6" borderId="2" xfId="0" applyNumberFormat="1" applyFont="1" applyFill="1" applyBorder="1" applyAlignment="1" applyProtection="1">
      <alignment horizontal="center"/>
      <protection hidden="1"/>
    </xf>
    <xf numFmtId="4" fontId="42" fillId="11" borderId="0" xfId="0" applyNumberFormat="1" applyFont="1" applyFill="1" applyBorder="1" applyAlignment="1" applyProtection="1">
      <alignment horizontal="center" wrapText="1"/>
      <protection hidden="1"/>
    </xf>
    <xf numFmtId="4" fontId="15" fillId="18" borderId="41" xfId="23" applyNumberFormat="1" applyFont="1" applyFill="1" applyBorder="1" applyAlignment="1" applyProtection="1">
      <alignment/>
      <protection hidden="1"/>
    </xf>
    <xf numFmtId="0" fontId="15" fillId="3" borderId="0" xfId="0" applyFont="1" applyFill="1" applyBorder="1" applyAlignment="1" applyProtection="1" quotePrefix="1">
      <alignment/>
      <protection hidden="1"/>
    </xf>
    <xf numFmtId="0" fontId="40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 horizontal="center"/>
      <protection hidden="1"/>
    </xf>
    <xf numFmtId="176" fontId="43" fillId="3" borderId="0" xfId="0" applyNumberFormat="1" applyFont="1" applyFill="1" applyAlignment="1" applyProtection="1">
      <alignment/>
      <protection hidden="1"/>
    </xf>
    <xf numFmtId="176" fontId="43" fillId="0" borderId="0" xfId="0" applyNumberFormat="1" applyFont="1" applyAlignment="1" applyProtection="1">
      <alignment/>
      <protection hidden="1"/>
    </xf>
    <xf numFmtId="211" fontId="15" fillId="11" borderId="0" xfId="0" applyNumberFormat="1" applyFont="1" applyFill="1" applyBorder="1" applyAlignment="1" applyProtection="1">
      <alignment horizontal="center" wrapText="1"/>
      <protection hidden="1"/>
    </xf>
    <xf numFmtId="14" fontId="22" fillId="3" borderId="0" xfId="0" applyNumberFormat="1" applyFont="1" applyFill="1" applyAlignment="1" applyProtection="1">
      <alignment/>
      <protection hidden="1"/>
    </xf>
    <xf numFmtId="14" fontId="15" fillId="0" borderId="0" xfId="0" applyNumberFormat="1" applyFont="1" applyBorder="1" applyAlignment="1" applyProtection="1">
      <alignment/>
      <protection hidden="1"/>
    </xf>
    <xf numFmtId="14" fontId="15" fillId="0" borderId="0" xfId="0" applyNumberFormat="1" applyFont="1" applyBorder="1" applyAlignment="1" applyProtection="1">
      <alignment horizontal="center"/>
      <protection hidden="1"/>
    </xf>
    <xf numFmtId="3" fontId="15" fillId="3" borderId="0" xfId="0" applyNumberFormat="1" applyFont="1" applyFill="1" applyBorder="1" applyAlignment="1" applyProtection="1">
      <alignment/>
      <protection hidden="1"/>
    </xf>
    <xf numFmtId="0" fontId="0" fillId="3" borderId="47" xfId="0" applyFont="1" applyFill="1" applyBorder="1" applyAlignment="1" applyProtection="1">
      <alignment/>
      <protection hidden="1"/>
    </xf>
    <xf numFmtId="9" fontId="34" fillId="0" borderId="0" xfId="0" applyNumberFormat="1" applyFont="1" applyAlignment="1" applyProtection="1">
      <alignment/>
      <protection hidden="1"/>
    </xf>
    <xf numFmtId="9" fontId="22" fillId="0" borderId="0" xfId="0" applyNumberFormat="1" applyFont="1" applyAlignment="1" applyProtection="1">
      <alignment horizontal="center" wrapText="1"/>
      <protection hidden="1"/>
    </xf>
    <xf numFmtId="4" fontId="4" fillId="6" borderId="0" xfId="0" applyNumberFormat="1" applyFont="1" applyFill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4" fontId="15" fillId="3" borderId="24" xfId="0" applyNumberFormat="1" applyFont="1" applyFill="1" applyBorder="1" applyAlignment="1" applyProtection="1">
      <alignment/>
      <protection hidden="1"/>
    </xf>
    <xf numFmtId="0" fontId="15" fillId="0" borderId="49" xfId="0" applyFont="1" applyFill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/>
      <protection hidden="1"/>
    </xf>
    <xf numFmtId="0" fontId="15" fillId="7" borderId="2" xfId="0" applyFont="1" applyFill="1" applyBorder="1" applyAlignment="1" applyProtection="1">
      <alignment/>
      <protection hidden="1"/>
    </xf>
    <xf numFmtId="0" fontId="15" fillId="8" borderId="2" xfId="0" applyFont="1" applyFill="1" applyBorder="1" applyAlignment="1" applyProtection="1">
      <alignment/>
      <protection hidden="1"/>
    </xf>
    <xf numFmtId="0" fontId="0" fillId="5" borderId="11" xfId="0" applyFont="1" applyFill="1" applyBorder="1" applyAlignment="1" applyProtection="1">
      <alignment/>
      <protection hidden="1"/>
    </xf>
    <xf numFmtId="0" fontId="0" fillId="7" borderId="11" xfId="0" applyFont="1" applyFill="1" applyBorder="1" applyAlignment="1" applyProtection="1">
      <alignment/>
      <protection hidden="1"/>
    </xf>
    <xf numFmtId="0" fontId="0" fillId="8" borderId="11" xfId="0" applyFont="1" applyFill="1" applyBorder="1" applyAlignment="1" applyProtection="1">
      <alignment/>
      <protection hidden="1"/>
    </xf>
    <xf numFmtId="0" fontId="6" fillId="3" borderId="2" xfId="0" applyFont="1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4" fillId="3" borderId="50" xfId="0" applyFont="1" applyFill="1" applyBorder="1" applyAlignment="1" applyProtection="1">
      <alignment horizontal="center"/>
      <protection hidden="1"/>
    </xf>
    <xf numFmtId="0" fontId="4" fillId="3" borderId="28" xfId="0" applyFont="1" applyFill="1" applyBorder="1" applyAlignment="1" applyProtection="1">
      <alignment horizontal="center"/>
      <protection hidden="1"/>
    </xf>
    <xf numFmtId="0" fontId="4" fillId="3" borderId="51" xfId="0" applyFont="1" applyFill="1" applyBorder="1" applyAlignment="1" applyProtection="1">
      <alignment horizontal="center"/>
      <protection hidden="1"/>
    </xf>
    <xf numFmtId="0" fontId="4" fillId="3" borderId="52" xfId="0" applyFont="1" applyFill="1" applyBorder="1" applyAlignment="1" applyProtection="1">
      <alignment horizontal="center"/>
      <protection hidden="1"/>
    </xf>
    <xf numFmtId="0" fontId="4" fillId="3" borderId="47" xfId="0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0" fontId="4" fillId="3" borderId="28" xfId="0" applyFont="1" applyFill="1" applyBorder="1" applyAlignment="1" applyProtection="1">
      <alignment/>
      <protection hidden="1"/>
    </xf>
    <xf numFmtId="0" fontId="4" fillId="3" borderId="52" xfId="0" applyFont="1" applyFill="1" applyBorder="1" applyAlignment="1" applyProtection="1">
      <alignment/>
      <protection hidden="1"/>
    </xf>
    <xf numFmtId="0" fontId="4" fillId="2" borderId="51" xfId="0" applyFont="1" applyFill="1" applyBorder="1" applyAlignment="1" applyProtection="1">
      <alignment horizontal="center"/>
      <protection hidden="1"/>
    </xf>
    <xf numFmtId="0" fontId="22" fillId="5" borderId="0" xfId="0" applyFont="1" applyFill="1" applyBorder="1" applyAlignment="1" applyProtection="1">
      <alignment/>
      <protection hidden="1"/>
    </xf>
    <xf numFmtId="0" fontId="22" fillId="7" borderId="0" xfId="0" applyFont="1" applyFill="1" applyBorder="1" applyAlignment="1" applyProtection="1">
      <alignment/>
      <protection hidden="1"/>
    </xf>
    <xf numFmtId="0" fontId="22" fillId="5" borderId="0" xfId="0" applyFont="1" applyFill="1" applyBorder="1" applyAlignment="1" applyProtection="1">
      <alignment horizontal="right"/>
      <protection hidden="1"/>
    </xf>
    <xf numFmtId="0" fontId="22" fillId="7" borderId="0" xfId="0" applyFont="1" applyFill="1" applyBorder="1" applyAlignment="1" applyProtection="1">
      <alignment horizontal="right"/>
      <protection hidden="1"/>
    </xf>
    <xf numFmtId="0" fontId="22" fillId="8" borderId="0" xfId="0" applyFont="1" applyFill="1" applyBorder="1" applyAlignment="1" applyProtection="1">
      <alignment/>
      <protection hidden="1"/>
    </xf>
    <xf numFmtId="0" fontId="22" fillId="8" borderId="0" xfId="0" applyFont="1" applyFill="1" applyBorder="1" applyAlignment="1" applyProtection="1">
      <alignment horizontal="right"/>
      <protection hidden="1"/>
    </xf>
    <xf numFmtId="0" fontId="22" fillId="7" borderId="0" xfId="0" applyFont="1" applyFill="1" applyBorder="1" applyAlignment="1" applyProtection="1">
      <alignment horizontal="center"/>
      <protection hidden="1"/>
    </xf>
    <xf numFmtId="0" fontId="22" fillId="5" borderId="4" xfId="0" applyFont="1" applyFill="1" applyBorder="1" applyAlignment="1" applyProtection="1">
      <alignment horizontal="center"/>
      <protection hidden="1"/>
    </xf>
    <xf numFmtId="4" fontId="7" fillId="3" borderId="0" xfId="0" applyNumberFormat="1" applyFont="1" applyFill="1" applyAlignment="1" applyProtection="1">
      <alignment horizontal="center"/>
      <protection hidden="1"/>
    </xf>
    <xf numFmtId="0" fontId="4" fillId="3" borderId="0" xfId="0" applyNumberFormat="1" applyFont="1" applyFill="1" applyAlignment="1" applyProtection="1">
      <alignment horizontal="center"/>
      <protection hidden="1"/>
    </xf>
    <xf numFmtId="4" fontId="5" fillId="3" borderId="0" xfId="0" applyNumberFormat="1" applyFont="1" applyFill="1" applyAlignment="1" applyProtection="1">
      <alignment horizontal="center"/>
      <protection hidden="1"/>
    </xf>
    <xf numFmtId="0" fontId="45" fillId="3" borderId="0" xfId="0" applyFont="1" applyFill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4" fontId="4" fillId="3" borderId="0" xfId="0" applyNumberFormat="1" applyFont="1" applyFill="1" applyBorder="1" applyAlignment="1" applyProtection="1">
      <alignment/>
      <protection hidden="1"/>
    </xf>
    <xf numFmtId="4" fontId="4" fillId="3" borderId="0" xfId="0" applyNumberFormat="1" applyFont="1" applyFill="1" applyBorder="1" applyAlignment="1" applyProtection="1">
      <alignment/>
      <protection hidden="1"/>
    </xf>
    <xf numFmtId="4" fontId="4" fillId="3" borderId="19" xfId="0" applyNumberFormat="1" applyFont="1" applyFill="1" applyBorder="1" applyAlignment="1" applyProtection="1">
      <alignment/>
      <protection hidden="1"/>
    </xf>
    <xf numFmtId="4" fontId="4" fillId="3" borderId="19" xfId="0" applyNumberFormat="1" applyFont="1" applyFill="1" applyBorder="1" applyAlignment="1" applyProtection="1">
      <alignment/>
      <protection hidden="1"/>
    </xf>
    <xf numFmtId="4" fontId="7" fillId="10" borderId="0" xfId="0" applyNumberFormat="1" applyFont="1" applyFill="1" applyAlignment="1" applyProtection="1">
      <alignment horizontal="center"/>
      <protection hidden="1"/>
    </xf>
    <xf numFmtId="0" fontId="46" fillId="3" borderId="0" xfId="0" applyFont="1" applyFill="1" applyBorder="1" applyAlignment="1" applyProtection="1">
      <alignment/>
      <protection hidden="1"/>
    </xf>
    <xf numFmtId="0" fontId="44" fillId="3" borderId="7" xfId="0" applyFont="1" applyFill="1" applyBorder="1" applyAlignment="1" applyProtection="1">
      <alignment/>
      <protection hidden="1"/>
    </xf>
    <xf numFmtId="0" fontId="0" fillId="5" borderId="0" xfId="0" applyFill="1" applyBorder="1" applyAlignment="1" applyProtection="1">
      <alignment/>
      <protection hidden="1"/>
    </xf>
    <xf numFmtId="4" fontId="4" fillId="0" borderId="0" xfId="0" applyNumberFormat="1" applyFont="1" applyAlignment="1" applyProtection="1">
      <alignment horizontal="right"/>
      <protection hidden="1"/>
    </xf>
    <xf numFmtId="175" fontId="4" fillId="11" borderId="0" xfId="0" applyNumberFormat="1" applyFont="1" applyFill="1" applyBorder="1" applyAlignment="1" applyProtection="1">
      <alignment horizontal="center"/>
      <protection hidden="1"/>
    </xf>
    <xf numFmtId="4" fontId="13" fillId="9" borderId="0" xfId="0" applyNumberFormat="1" applyFont="1" applyFill="1" applyAlignment="1" applyProtection="1">
      <alignment/>
      <protection hidden="1"/>
    </xf>
    <xf numFmtId="4" fontId="13" fillId="13" borderId="0" xfId="0" applyNumberFormat="1" applyFont="1" applyFill="1" applyAlignment="1" applyProtection="1">
      <alignment/>
      <protection hidden="1"/>
    </xf>
    <xf numFmtId="4" fontId="13" fillId="14" borderId="0" xfId="0" applyNumberFormat="1" applyFont="1" applyFill="1" applyAlignment="1" applyProtection="1">
      <alignment/>
      <protection hidden="1"/>
    </xf>
    <xf numFmtId="4" fontId="13" fillId="12" borderId="0" xfId="0" applyNumberFormat="1" applyFont="1" applyFill="1" applyAlignment="1" applyProtection="1">
      <alignment/>
      <protection hidden="1"/>
    </xf>
    <xf numFmtId="0" fontId="22" fillId="5" borderId="28" xfId="0" applyFont="1" applyFill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16" fillId="3" borderId="0" xfId="0" applyFont="1" applyFill="1" applyAlignment="1" applyProtection="1">
      <alignment horizontal="right"/>
      <protection hidden="1"/>
    </xf>
    <xf numFmtId="0" fontId="0" fillId="7" borderId="0" xfId="0" applyFill="1" applyBorder="1" applyAlignment="1" applyProtection="1">
      <alignment/>
      <protection hidden="1"/>
    </xf>
    <xf numFmtId="3" fontId="0" fillId="3" borderId="0" xfId="0" applyNumberFormat="1" applyFill="1" applyAlignment="1" applyProtection="1">
      <alignment horizontal="center"/>
      <protection hidden="1"/>
    </xf>
    <xf numFmtId="3" fontId="0" fillId="10" borderId="0" xfId="0" applyNumberFormat="1" applyFill="1" applyAlignment="1" applyProtection="1">
      <alignment horizontal="center"/>
      <protection hidden="1"/>
    </xf>
    <xf numFmtId="3" fontId="0" fillId="11" borderId="0" xfId="0" applyNumberFormat="1" applyFill="1" applyAlignment="1" applyProtection="1">
      <alignment horizontal="center"/>
      <protection hidden="1"/>
    </xf>
    <xf numFmtId="3" fontId="0" fillId="7" borderId="0" xfId="0" applyNumberFormat="1" applyFill="1" applyAlignment="1" applyProtection="1">
      <alignment horizontal="center"/>
      <protection hidden="1"/>
    </xf>
    <xf numFmtId="3" fontId="0" fillId="2" borderId="0" xfId="0" applyNumberFormat="1" applyFill="1" applyAlignment="1" applyProtection="1">
      <alignment horizontal="center"/>
      <protection hidden="1"/>
    </xf>
    <xf numFmtId="3" fontId="0" fillId="2" borderId="0" xfId="0" applyNumberFormat="1" applyFill="1" applyAlignment="1" applyProtection="1">
      <alignment/>
      <protection hidden="1"/>
    </xf>
    <xf numFmtId="3" fontId="0" fillId="3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6" fillId="3" borderId="0" xfId="0" applyFont="1" applyFill="1" applyAlignment="1" applyProtection="1">
      <alignment horizontal="center"/>
      <protection hidden="1"/>
    </xf>
    <xf numFmtId="0" fontId="45" fillId="0" borderId="0" xfId="0" applyFont="1" applyAlignment="1" applyProtection="1">
      <alignment horizontal="center"/>
      <protection hidden="1"/>
    </xf>
    <xf numFmtId="9" fontId="0" fillId="0" borderId="0" xfId="0" applyNumberFormat="1" applyAlignment="1" applyProtection="1">
      <alignment/>
      <protection hidden="1"/>
    </xf>
    <xf numFmtId="4" fontId="4" fillId="3" borderId="0" xfId="0" applyNumberFormat="1" applyFont="1" applyFill="1" applyAlignment="1" applyProtection="1">
      <alignment/>
      <protection locked="0"/>
    </xf>
    <xf numFmtId="3" fontId="0" fillId="8" borderId="0" xfId="0" applyNumberFormat="1" applyFill="1" applyBorder="1" applyAlignment="1" applyProtection="1">
      <alignment/>
      <protection hidden="1"/>
    </xf>
    <xf numFmtId="0" fontId="22" fillId="8" borderId="0" xfId="0" applyFont="1" applyFill="1" applyBorder="1" applyAlignment="1" applyProtection="1">
      <alignment horizontal="center"/>
      <protection hidden="1"/>
    </xf>
    <xf numFmtId="3" fontId="45" fillId="3" borderId="0" xfId="0" applyNumberFormat="1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right"/>
      <protection hidden="1"/>
    </xf>
    <xf numFmtId="9" fontId="22" fillId="0" borderId="0" xfId="23" applyFont="1" applyAlignment="1" applyProtection="1">
      <alignment/>
      <protection hidden="1"/>
    </xf>
    <xf numFmtId="4" fontId="4" fillId="10" borderId="0" xfId="0" applyNumberFormat="1" applyFont="1" applyFill="1" applyAlignment="1" applyProtection="1">
      <alignment horizontal="center"/>
      <protection hidden="1"/>
    </xf>
    <xf numFmtId="4" fontId="4" fillId="10" borderId="0" xfId="0" applyNumberFormat="1" applyFont="1" applyFill="1" applyAlignment="1" applyProtection="1">
      <alignment/>
      <protection hidden="1"/>
    </xf>
    <xf numFmtId="0" fontId="0" fillId="16" borderId="0" xfId="0" applyFont="1" applyFill="1" applyBorder="1" applyAlignment="1" applyProtection="1">
      <alignment/>
      <protection hidden="1"/>
    </xf>
    <xf numFmtId="0" fontId="15" fillId="3" borderId="0" xfId="0" applyFont="1" applyFill="1" applyAlignment="1" applyProtection="1">
      <alignment/>
      <protection hidden="1"/>
    </xf>
    <xf numFmtId="0" fontId="15" fillId="5" borderId="0" xfId="0" applyFont="1" applyFill="1" applyAlignment="1" applyProtection="1">
      <alignment/>
      <protection hidden="1"/>
    </xf>
    <xf numFmtId="0" fontId="15" fillId="5" borderId="7" xfId="0" applyFont="1" applyFill="1" applyBorder="1" applyAlignment="1" applyProtection="1">
      <alignment horizontal="center"/>
      <protection hidden="1"/>
    </xf>
    <xf numFmtId="0" fontId="15" fillId="5" borderId="38" xfId="0" applyFont="1" applyFill="1" applyBorder="1" applyAlignment="1" applyProtection="1">
      <alignment horizontal="center"/>
      <protection hidden="1"/>
    </xf>
    <xf numFmtId="0" fontId="15" fillId="5" borderId="0" xfId="0" applyFont="1" applyFill="1" applyBorder="1" applyAlignment="1" applyProtection="1">
      <alignment horizontal="right"/>
      <protection hidden="1"/>
    </xf>
    <xf numFmtId="0" fontId="15" fillId="5" borderId="0" xfId="0" applyFont="1" applyFill="1" applyBorder="1" applyAlignment="1" applyProtection="1" quotePrefix="1">
      <alignment horizontal="center"/>
      <protection hidden="1"/>
    </xf>
    <xf numFmtId="0" fontId="15" fillId="5" borderId="0" xfId="0" applyFont="1" applyFill="1" applyBorder="1" applyAlignment="1" applyProtection="1">
      <alignment horizontal="center"/>
      <protection hidden="1"/>
    </xf>
    <xf numFmtId="0" fontId="0" fillId="7" borderId="0" xfId="0" applyFont="1" applyFill="1" applyBorder="1" applyAlignment="1" applyProtection="1">
      <alignment/>
      <protection hidden="1"/>
    </xf>
    <xf numFmtId="3" fontId="15" fillId="7" borderId="0" xfId="0" applyNumberFormat="1" applyFont="1" applyFill="1" applyBorder="1" applyAlignment="1" applyProtection="1">
      <alignment horizontal="center"/>
      <protection hidden="1"/>
    </xf>
    <xf numFmtId="0" fontId="15" fillId="5" borderId="0" xfId="0" applyFont="1" applyFill="1" applyAlignment="1" applyProtection="1" quotePrefix="1">
      <alignment horizontal="center"/>
      <protection hidden="1"/>
    </xf>
    <xf numFmtId="0" fontId="15" fillId="5" borderId="0" xfId="0" applyFont="1" applyFill="1" applyAlignment="1" applyProtection="1">
      <alignment horizontal="right"/>
      <protection hidden="1"/>
    </xf>
    <xf numFmtId="0" fontId="22" fillId="3" borderId="24" xfId="0" applyFont="1" applyFill="1" applyBorder="1" applyAlignment="1" applyProtection="1" quotePrefix="1">
      <alignment/>
      <protection hidden="1"/>
    </xf>
    <xf numFmtId="0" fontId="15" fillId="3" borderId="7" xfId="0" applyFont="1" applyFill="1" applyBorder="1" applyAlignment="1" applyProtection="1">
      <alignment horizontal="right"/>
      <protection hidden="1"/>
    </xf>
    <xf numFmtId="3" fontId="47" fillId="3" borderId="53" xfId="0" applyNumberFormat="1" applyFont="1" applyFill="1" applyBorder="1" applyAlignment="1" applyProtection="1">
      <alignment horizontal="center"/>
      <protection hidden="1"/>
    </xf>
    <xf numFmtId="0" fontId="15" fillId="3" borderId="51" xfId="0" applyFont="1" applyFill="1" applyBorder="1" applyAlignment="1" applyProtection="1">
      <alignment horizontal="center"/>
      <protection hidden="1"/>
    </xf>
    <xf numFmtId="4" fontId="15" fillId="3" borderId="0" xfId="23" applyNumberFormat="1" applyFont="1" applyFill="1" applyBorder="1" applyAlignment="1" applyProtection="1">
      <alignment horizontal="center"/>
      <protection hidden="1"/>
    </xf>
    <xf numFmtId="0" fontId="15" fillId="3" borderId="52" xfId="0" applyFont="1" applyFill="1" applyBorder="1" applyAlignment="1" applyProtection="1">
      <alignment horizontal="center"/>
      <protection hidden="1"/>
    </xf>
    <xf numFmtId="4" fontId="15" fillId="0" borderId="0" xfId="0" applyNumberFormat="1" applyFont="1" applyFill="1" applyAlignment="1" applyProtection="1">
      <alignment horizontal="center"/>
      <protection hidden="1"/>
    </xf>
    <xf numFmtId="0" fontId="30" fillId="3" borderId="0" xfId="0" applyFont="1" applyFill="1" applyBorder="1" applyAlignment="1" applyProtection="1">
      <alignment horizontal="right"/>
      <protection hidden="1"/>
    </xf>
    <xf numFmtId="196" fontId="24" fillId="3" borderId="0" xfId="0" applyNumberFormat="1" applyFont="1" applyFill="1" applyAlignment="1" applyProtection="1">
      <alignment horizontal="center"/>
      <protection hidden="1"/>
    </xf>
    <xf numFmtId="4" fontId="15" fillId="3" borderId="54" xfId="23" applyNumberFormat="1" applyFont="1" applyFill="1" applyBorder="1" applyAlignment="1" applyProtection="1">
      <alignment/>
      <protection hidden="1"/>
    </xf>
    <xf numFmtId="4" fontId="15" fillId="3" borderId="14" xfId="23" applyNumberFormat="1" applyFont="1" applyFill="1" applyBorder="1" applyAlignment="1" applyProtection="1">
      <alignment/>
      <protection hidden="1"/>
    </xf>
    <xf numFmtId="4" fontId="15" fillId="0" borderId="0" xfId="0" applyNumberFormat="1" applyFont="1" applyAlignment="1" applyProtection="1">
      <alignment/>
      <protection hidden="1"/>
    </xf>
    <xf numFmtId="176" fontId="22" fillId="3" borderId="0" xfId="0" applyNumberFormat="1" applyFont="1" applyFill="1" applyAlignment="1" applyProtection="1">
      <alignment/>
      <protection hidden="1"/>
    </xf>
    <xf numFmtId="0" fontId="48" fillId="3" borderId="7" xfId="0" applyFont="1" applyFill="1" applyBorder="1" applyAlignment="1" applyProtection="1">
      <alignment/>
      <protection hidden="1"/>
    </xf>
    <xf numFmtId="0" fontId="49" fillId="3" borderId="7" xfId="0" applyFont="1" applyFill="1" applyBorder="1" applyAlignment="1" applyProtection="1">
      <alignment/>
      <protection hidden="1"/>
    </xf>
    <xf numFmtId="0" fontId="22" fillId="3" borderId="0" xfId="0" applyFont="1" applyFill="1" applyBorder="1" applyAlignment="1" applyProtection="1">
      <alignment horizontal="right"/>
      <protection hidden="1"/>
    </xf>
    <xf numFmtId="189" fontId="15" fillId="0" borderId="43" xfId="0" applyNumberFormat="1" applyFont="1" applyFill="1" applyBorder="1" applyAlignment="1" applyProtection="1">
      <alignment horizontal="center"/>
      <protection locked="0"/>
    </xf>
    <xf numFmtId="0" fontId="49" fillId="3" borderId="0" xfId="0" applyFont="1" applyFill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33" fillId="3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/>
      <protection locked="0"/>
    </xf>
    <xf numFmtId="4" fontId="8" fillId="19" borderId="0" xfId="0" applyNumberFormat="1" applyFont="1" applyFill="1" applyAlignment="1" applyProtection="1">
      <alignment/>
      <protection hidden="1"/>
    </xf>
    <xf numFmtId="0" fontId="15" fillId="19" borderId="0" xfId="0" applyFont="1" applyFill="1" applyBorder="1" applyAlignment="1" applyProtection="1">
      <alignment/>
      <protection hidden="1"/>
    </xf>
    <xf numFmtId="4" fontId="13" fillId="9" borderId="0" xfId="0" applyNumberFormat="1" applyFont="1" applyFill="1" applyAlignment="1" applyProtection="1">
      <alignment/>
      <protection hidden="1"/>
    </xf>
    <xf numFmtId="0" fontId="50" fillId="9" borderId="0" xfId="0" applyFont="1" applyFill="1" applyBorder="1" applyAlignment="1" applyProtection="1">
      <alignment/>
      <protection hidden="1"/>
    </xf>
    <xf numFmtId="0" fontId="29" fillId="9" borderId="7" xfId="0" applyFont="1" applyFill="1" applyBorder="1" applyAlignment="1" applyProtection="1">
      <alignment horizontal="center"/>
      <protection hidden="1"/>
    </xf>
    <xf numFmtId="4" fontId="7" fillId="17" borderId="0" xfId="0" applyNumberFormat="1" applyFont="1" applyFill="1" applyAlignment="1" applyProtection="1">
      <alignment/>
      <protection hidden="1"/>
    </xf>
    <xf numFmtId="0" fontId="15" fillId="17" borderId="0" xfId="0" applyFont="1" applyFill="1" applyBorder="1" applyAlignment="1" applyProtection="1">
      <alignment/>
      <protection hidden="1"/>
    </xf>
    <xf numFmtId="0" fontId="16" fillId="17" borderId="7" xfId="0" applyFont="1" applyFill="1" applyBorder="1" applyAlignment="1" applyProtection="1">
      <alignment horizontal="center"/>
      <protection hidden="1"/>
    </xf>
    <xf numFmtId="4" fontId="13" fillId="12" borderId="0" xfId="0" applyNumberFormat="1" applyFont="1" applyFill="1" applyAlignment="1" applyProtection="1">
      <alignment/>
      <protection hidden="1"/>
    </xf>
    <xf numFmtId="0" fontId="51" fillId="12" borderId="0" xfId="0" applyFont="1" applyFill="1" applyBorder="1" applyAlignment="1" applyProtection="1">
      <alignment/>
      <protection hidden="1"/>
    </xf>
    <xf numFmtId="0" fontId="16" fillId="19" borderId="7" xfId="0" applyFont="1" applyFill="1" applyBorder="1" applyAlignment="1" applyProtection="1">
      <alignment horizontal="center"/>
      <protection hidden="1"/>
    </xf>
    <xf numFmtId="213" fontId="18" fillId="3" borderId="0" xfId="0" applyNumberFormat="1" applyFont="1" applyFill="1" applyAlignment="1" applyProtection="1">
      <alignment horizontal="center"/>
      <protection hidden="1"/>
    </xf>
    <xf numFmtId="9" fontId="30" fillId="3" borderId="8" xfId="23" applyFont="1" applyFill="1" applyBorder="1" applyAlignment="1" applyProtection="1">
      <alignment horizontal="center"/>
      <protection hidden="1"/>
    </xf>
    <xf numFmtId="9" fontId="22" fillId="3" borderId="6" xfId="0" applyNumberFormat="1" applyFont="1" applyFill="1" applyBorder="1" applyAlignment="1" applyProtection="1">
      <alignment horizontal="center"/>
      <protection hidden="1"/>
    </xf>
    <xf numFmtId="214" fontId="22" fillId="0" borderId="0" xfId="0" applyNumberFormat="1" applyFont="1" applyAlignment="1" applyProtection="1">
      <alignment horizontal="center"/>
      <protection hidden="1"/>
    </xf>
    <xf numFmtId="215" fontId="22" fillId="0" borderId="0" xfId="0" applyNumberFormat="1" applyFont="1" applyAlignment="1" applyProtection="1">
      <alignment horizontal="left"/>
      <protection hidden="1"/>
    </xf>
    <xf numFmtId="4" fontId="15" fillId="3" borderId="24" xfId="23" applyNumberFormat="1" applyFont="1" applyFill="1" applyBorder="1" applyAlignment="1" applyProtection="1">
      <alignment horizontal="center"/>
      <protection hidden="1"/>
    </xf>
    <xf numFmtId="172" fontId="18" fillId="3" borderId="24" xfId="0" applyNumberFormat="1" applyFont="1" applyFill="1" applyBorder="1" applyAlignment="1" applyProtection="1">
      <alignment/>
      <protection hidden="1"/>
    </xf>
    <xf numFmtId="4" fontId="23" fillId="11" borderId="24" xfId="0" applyNumberFormat="1" applyFont="1" applyFill="1" applyBorder="1" applyAlignment="1" applyProtection="1">
      <alignment/>
      <protection hidden="1"/>
    </xf>
    <xf numFmtId="0" fontId="15" fillId="3" borderId="56" xfId="0" applyFont="1" applyFill="1" applyBorder="1" applyAlignment="1" applyProtection="1">
      <alignment/>
      <protection hidden="1"/>
    </xf>
    <xf numFmtId="0" fontId="49" fillId="3" borderId="0" xfId="0" applyFont="1" applyFill="1" applyBorder="1" applyAlignment="1" applyProtection="1">
      <alignment horizontal="right"/>
      <protection hidden="1"/>
    </xf>
    <xf numFmtId="0" fontId="22" fillId="3" borderId="6" xfId="0" applyFont="1" applyFill="1" applyBorder="1" applyAlignment="1" applyProtection="1">
      <alignment horizontal="center"/>
      <protection hidden="1"/>
    </xf>
    <xf numFmtId="0" fontId="49" fillId="3" borderId="6" xfId="0" applyFont="1" applyFill="1" applyBorder="1" applyAlignment="1" applyProtection="1">
      <alignment horizontal="center" textRotation="180"/>
      <protection hidden="1"/>
    </xf>
    <xf numFmtId="0" fontId="49" fillId="3" borderId="0" xfId="0" applyFont="1" applyFill="1" applyBorder="1" applyAlignment="1" applyProtection="1">
      <alignment horizontal="center" textRotation="180"/>
      <protection hidden="1"/>
    </xf>
    <xf numFmtId="0" fontId="15" fillId="19" borderId="0" xfId="0" applyFont="1" applyFill="1" applyBorder="1" applyAlignment="1" applyProtection="1">
      <alignment horizontal="left"/>
      <protection hidden="1"/>
    </xf>
    <xf numFmtId="0" fontId="0" fillId="19" borderId="0" xfId="0" applyFont="1" applyFill="1" applyBorder="1" applyAlignment="1" applyProtection="1">
      <alignment/>
      <protection hidden="1"/>
    </xf>
    <xf numFmtId="0" fontId="15" fillId="17" borderId="0" xfId="0" applyFont="1" applyFill="1" applyBorder="1" applyAlignment="1" applyProtection="1">
      <alignment horizontal="left"/>
      <protection hidden="1"/>
    </xf>
    <xf numFmtId="0" fontId="15" fillId="17" borderId="0" xfId="0" applyFont="1" applyFill="1" applyAlignment="1" applyProtection="1">
      <alignment/>
      <protection hidden="1"/>
    </xf>
    <xf numFmtId="0" fontId="51" fillId="12" borderId="0" xfId="0" applyFont="1" applyFill="1" applyBorder="1" applyAlignment="1" applyProtection="1">
      <alignment horizontal="left"/>
      <protection hidden="1"/>
    </xf>
    <xf numFmtId="172" fontId="52" fillId="12" borderId="0" xfId="0" applyNumberFormat="1" applyFont="1" applyFill="1" applyBorder="1" applyAlignment="1" applyProtection="1">
      <alignment/>
      <protection hidden="1"/>
    </xf>
    <xf numFmtId="0" fontId="51" fillId="9" borderId="0" xfId="0" applyFont="1" applyFill="1" applyBorder="1" applyAlignment="1" applyProtection="1">
      <alignment horizontal="left"/>
      <protection hidden="1"/>
    </xf>
    <xf numFmtId="0" fontId="53" fillId="9" borderId="0" xfId="0" applyFont="1" applyFill="1" applyBorder="1" applyAlignment="1" applyProtection="1">
      <alignment/>
      <protection hidden="1"/>
    </xf>
    <xf numFmtId="4" fontId="53" fillId="12" borderId="0" xfId="0" applyNumberFormat="1" applyFont="1" applyFill="1" applyBorder="1" applyAlignment="1" applyProtection="1">
      <alignment horizontal="right"/>
      <protection hidden="1"/>
    </xf>
    <xf numFmtId="4" fontId="23" fillId="17" borderId="0" xfId="0" applyNumberFormat="1" applyFont="1" applyFill="1" applyBorder="1" applyAlignment="1" applyProtection="1">
      <alignment horizontal="right"/>
      <protection hidden="1"/>
    </xf>
    <xf numFmtId="0" fontId="18" fillId="0" borderId="0" xfId="0" applyFont="1" applyAlignment="1" applyProtection="1">
      <alignment/>
      <protection hidden="1"/>
    </xf>
    <xf numFmtId="0" fontId="22" fillId="2" borderId="0" xfId="0" applyFont="1" applyFill="1" applyAlignment="1" applyProtection="1">
      <alignment/>
      <protection hidden="1"/>
    </xf>
    <xf numFmtId="0" fontId="22" fillId="10" borderId="0" xfId="0" applyFont="1" applyFill="1" applyAlignment="1" applyProtection="1">
      <alignment/>
      <protection hidden="1"/>
    </xf>
    <xf numFmtId="0" fontId="22" fillId="11" borderId="0" xfId="0" applyFont="1" applyFill="1" applyAlignment="1" applyProtection="1">
      <alignment/>
      <protection hidden="1"/>
    </xf>
    <xf numFmtId="0" fontId="31" fillId="19" borderId="0" xfId="0" applyFont="1" applyFill="1" applyBorder="1" applyAlignment="1" applyProtection="1">
      <alignment horizontal="right"/>
      <protection hidden="1"/>
    </xf>
    <xf numFmtId="4" fontId="54" fillId="2" borderId="0" xfId="0" applyNumberFormat="1" applyFont="1" applyFill="1" applyBorder="1" applyAlignment="1" applyProtection="1">
      <alignment horizontal="center" wrapText="1"/>
      <protection hidden="1"/>
    </xf>
    <xf numFmtId="0" fontId="22" fillId="0" borderId="57" xfId="0" applyFont="1" applyFill="1" applyBorder="1" applyAlignment="1" applyProtection="1">
      <alignment horizontal="center"/>
      <protection locked="0"/>
    </xf>
    <xf numFmtId="4" fontId="31" fillId="2" borderId="38" xfId="0" applyNumberFormat="1" applyFont="1" applyFill="1" applyBorder="1" applyAlignment="1" applyProtection="1">
      <alignment/>
      <protection hidden="1"/>
    </xf>
    <xf numFmtId="4" fontId="31" fillId="10" borderId="38" xfId="0" applyNumberFormat="1" applyFont="1" applyFill="1" applyBorder="1" applyAlignment="1" applyProtection="1">
      <alignment/>
      <protection hidden="1"/>
    </xf>
    <xf numFmtId="4" fontId="31" fillId="11" borderId="38" xfId="0" applyNumberFormat="1" applyFont="1" applyFill="1" applyBorder="1" applyAlignment="1" applyProtection="1">
      <alignment/>
      <protection hidden="1"/>
    </xf>
    <xf numFmtId="4" fontId="23" fillId="3" borderId="38" xfId="0" applyNumberFormat="1" applyFont="1" applyFill="1" applyBorder="1" applyAlignment="1" applyProtection="1">
      <alignment/>
      <protection hidden="1"/>
    </xf>
    <xf numFmtId="0" fontId="22" fillId="3" borderId="0" xfId="0" applyFont="1" applyFill="1" applyAlignment="1" applyProtection="1">
      <alignment horizontal="right"/>
      <protection hidden="1"/>
    </xf>
    <xf numFmtId="0" fontId="49" fillId="3" borderId="0" xfId="0" applyFont="1" applyFill="1" applyBorder="1" applyAlignment="1" applyProtection="1">
      <alignment horizontal="center"/>
      <protection hidden="1"/>
    </xf>
    <xf numFmtId="9" fontId="22" fillId="3" borderId="0" xfId="0" applyNumberFormat="1" applyFont="1" applyFill="1" applyBorder="1" applyAlignment="1" applyProtection="1">
      <alignment horizontal="center"/>
      <protection hidden="1"/>
    </xf>
    <xf numFmtId="4" fontId="15" fillId="3" borderId="15" xfId="23" applyNumberFormat="1" applyFont="1" applyFill="1" applyBorder="1" applyAlignment="1" applyProtection="1">
      <alignment/>
      <protection hidden="1"/>
    </xf>
    <xf numFmtId="4" fontId="15" fillId="0" borderId="0" xfId="23" applyNumberFormat="1" applyFont="1" applyFill="1" applyBorder="1" applyAlignment="1" applyProtection="1">
      <alignment horizontal="center"/>
      <protection hidden="1"/>
    </xf>
    <xf numFmtId="0" fontId="58" fillId="0" borderId="0" xfId="0" applyFont="1" applyAlignment="1" applyProtection="1">
      <alignment horizontal="center"/>
      <protection hidden="1"/>
    </xf>
    <xf numFmtId="0" fontId="23" fillId="3" borderId="0" xfId="0" applyFont="1" applyFill="1" applyBorder="1" applyAlignment="1" applyProtection="1">
      <alignment horizontal="center"/>
      <protection hidden="1"/>
    </xf>
    <xf numFmtId="14" fontId="59" fillId="2" borderId="0" xfId="0" applyNumberFormat="1" applyFont="1" applyFill="1" applyAlignment="1" applyProtection="1">
      <alignment horizontal="center"/>
      <protection hidden="1"/>
    </xf>
    <xf numFmtId="14" fontId="60" fillId="10" borderId="0" xfId="0" applyNumberFormat="1" applyFont="1" applyFill="1" applyAlignment="1" applyProtection="1">
      <alignment horizontal="center"/>
      <protection hidden="1"/>
    </xf>
    <xf numFmtId="4" fontId="61" fillId="10" borderId="0" xfId="0" applyNumberFormat="1" applyFont="1" applyFill="1" applyBorder="1" applyAlignment="1" applyProtection="1">
      <alignment horizontal="center" wrapText="1"/>
      <protection hidden="1"/>
    </xf>
    <xf numFmtId="14" fontId="62" fillId="11" borderId="0" xfId="0" applyNumberFormat="1" applyFont="1" applyFill="1" applyAlignment="1" applyProtection="1">
      <alignment horizontal="center"/>
      <protection hidden="1"/>
    </xf>
    <xf numFmtId="49" fontId="31" fillId="0" borderId="0" xfId="0" applyNumberFormat="1" applyFont="1" applyAlignment="1" applyProtection="1">
      <alignment/>
      <protection hidden="1"/>
    </xf>
    <xf numFmtId="0" fontId="44" fillId="3" borderId="0" xfId="0" applyFont="1" applyFill="1" applyBorder="1" applyAlignment="1" applyProtection="1">
      <alignment horizontal="center"/>
      <protection hidden="1"/>
    </xf>
    <xf numFmtId="172" fontId="22" fillId="3" borderId="0" xfId="0" applyNumberFormat="1" applyFont="1" applyFill="1" applyAlignment="1" applyProtection="1">
      <alignment horizontal="center"/>
      <protection hidden="1"/>
    </xf>
    <xf numFmtId="9" fontId="30" fillId="18" borderId="8" xfId="23" applyFont="1" applyFill="1" applyBorder="1" applyAlignment="1" applyProtection="1">
      <alignment horizontal="center"/>
      <protection hidden="1"/>
    </xf>
    <xf numFmtId="0" fontId="22" fillId="16" borderId="0" xfId="0" applyFont="1" applyFill="1" applyBorder="1" applyAlignment="1" applyProtection="1">
      <alignment horizontal="center"/>
      <protection hidden="1"/>
    </xf>
    <xf numFmtId="0" fontId="15" fillId="16" borderId="0" xfId="0" applyFont="1" applyFill="1" applyBorder="1" applyAlignment="1" applyProtection="1">
      <alignment horizontal="center"/>
      <protection hidden="1"/>
    </xf>
    <xf numFmtId="4" fontId="4" fillId="3" borderId="51" xfId="0" applyNumberFormat="1" applyFont="1" applyFill="1" applyBorder="1" applyAlignment="1" applyProtection="1">
      <alignment horizontal="center" textRotation="90"/>
      <protection hidden="1"/>
    </xf>
    <xf numFmtId="4" fontId="4" fillId="3" borderId="47" xfId="0" applyNumberFormat="1" applyFont="1" applyFill="1" applyBorder="1" applyAlignment="1" applyProtection="1">
      <alignment horizontal="center" textRotation="90"/>
      <protection hidden="1"/>
    </xf>
    <xf numFmtId="9" fontId="15" fillId="3" borderId="58" xfId="23" applyFont="1" applyFill="1" applyBorder="1" applyAlignment="1" applyProtection="1">
      <alignment horizontal="center" vertical="center" textRotation="90"/>
      <protection hidden="1"/>
    </xf>
    <xf numFmtId="0" fontId="15" fillId="3" borderId="59" xfId="0" applyFont="1" applyFill="1" applyBorder="1" applyAlignment="1" applyProtection="1">
      <alignment horizontal="center"/>
      <protection hidden="1"/>
    </xf>
    <xf numFmtId="0" fontId="15" fillId="3" borderId="8" xfId="0" applyFont="1" applyFill="1" applyBorder="1" applyAlignment="1" applyProtection="1">
      <alignment horizontal="center"/>
      <protection hidden="1"/>
    </xf>
    <xf numFmtId="4" fontId="15" fillId="11" borderId="0" xfId="0" applyNumberFormat="1" applyFont="1" applyFill="1" applyBorder="1" applyAlignment="1" applyProtection="1">
      <alignment horizontal="center" textRotation="90" wrapText="1"/>
      <protection hidden="1"/>
    </xf>
    <xf numFmtId="0" fontId="0" fillId="0" borderId="35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/>
      <protection locked="0"/>
    </xf>
    <xf numFmtId="0" fontId="0" fillId="0" borderId="60" xfId="0" applyFont="1" applyFill="1" applyBorder="1" applyAlignment="1" applyProtection="1">
      <alignment/>
      <protection locked="0"/>
    </xf>
    <xf numFmtId="4" fontId="15" fillId="2" borderId="0" xfId="0" applyNumberFormat="1" applyFont="1" applyFill="1" applyBorder="1" applyAlignment="1" applyProtection="1">
      <alignment horizontal="center" textRotation="90" wrapText="1"/>
      <protection hidden="1"/>
    </xf>
    <xf numFmtId="4" fontId="15" fillId="10" borderId="0" xfId="0" applyNumberFormat="1" applyFont="1" applyFill="1" applyBorder="1" applyAlignment="1" applyProtection="1">
      <alignment horizontal="center" textRotation="90" wrapText="1"/>
      <protection hidden="1"/>
    </xf>
    <xf numFmtId="0" fontId="25" fillId="20" borderId="17" xfId="0" applyFont="1" applyFill="1" applyBorder="1" applyAlignment="1" applyProtection="1">
      <alignment horizontal="center" vertical="center"/>
      <protection hidden="1"/>
    </xf>
    <xf numFmtId="0" fontId="25" fillId="20" borderId="5" xfId="0" applyFont="1" applyFill="1" applyBorder="1" applyAlignment="1" applyProtection="1">
      <alignment horizontal="center" vertical="center"/>
      <protection hidden="1"/>
    </xf>
    <xf numFmtId="0" fontId="15" fillId="0" borderId="35" xfId="0" applyFont="1" applyFill="1" applyBorder="1" applyAlignment="1" applyProtection="1">
      <alignment horizontal="center"/>
      <protection locked="0"/>
    </xf>
    <xf numFmtId="0" fontId="15" fillId="0" borderId="36" xfId="0" applyFon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/>
      <protection locked="0"/>
    </xf>
    <xf numFmtId="49" fontId="0" fillId="0" borderId="60" xfId="0" applyNumberFormat="1" applyFont="1" applyFill="1" applyBorder="1" applyAlignment="1" applyProtection="1">
      <alignment/>
      <protection locked="0"/>
    </xf>
    <xf numFmtId="1" fontId="22" fillId="0" borderId="0" xfId="0" applyNumberFormat="1" applyFont="1" applyAlignment="1" applyProtection="1">
      <alignment horizontal="center" textRotation="90"/>
      <protection hidden="1"/>
    </xf>
    <xf numFmtId="0" fontId="15" fillId="3" borderId="51" xfId="0" applyFont="1" applyFill="1" applyBorder="1" applyAlignment="1" applyProtection="1">
      <alignment horizontal="center"/>
      <protection hidden="1"/>
    </xf>
    <xf numFmtId="0" fontId="15" fillId="3" borderId="0" xfId="0" applyFont="1" applyFill="1" applyBorder="1" applyAlignment="1" applyProtection="1">
      <alignment horizontal="center"/>
      <protection hidden="1"/>
    </xf>
    <xf numFmtId="0" fontId="15" fillId="3" borderId="6" xfId="0" applyFont="1" applyFill="1" applyBorder="1" applyAlignment="1" applyProtection="1">
      <alignment horizontal="center"/>
      <protection hidden="1"/>
    </xf>
    <xf numFmtId="0" fontId="25" fillId="20" borderId="0" xfId="0" applyFont="1" applyFill="1" applyBorder="1" applyAlignment="1" applyProtection="1">
      <alignment horizontal="center" vertical="center"/>
      <protection hidden="1"/>
    </xf>
    <xf numFmtId="14" fontId="22" fillId="3" borderId="4" xfId="0" applyNumberFormat="1" applyFont="1" applyFill="1" applyBorder="1" applyAlignment="1" applyProtection="1">
      <alignment horizontal="center"/>
      <protection hidden="1"/>
    </xf>
    <xf numFmtId="14" fontId="22" fillId="3" borderId="11" xfId="0" applyNumberFormat="1" applyFont="1" applyFill="1" applyBorder="1" applyAlignment="1" applyProtection="1">
      <alignment horizontal="center"/>
      <protection hidden="1"/>
    </xf>
    <xf numFmtId="0" fontId="22" fillId="11" borderId="0" xfId="0" applyFont="1" applyFill="1" applyAlignment="1" applyProtection="1">
      <alignment horizontal="center"/>
      <protection hidden="1"/>
    </xf>
    <xf numFmtId="199" fontId="22" fillId="3" borderId="4" xfId="0" applyNumberFormat="1" applyFont="1" applyFill="1" applyBorder="1" applyAlignment="1" applyProtection="1">
      <alignment horizontal="center"/>
      <protection hidden="1"/>
    </xf>
    <xf numFmtId="199" fontId="22" fillId="3" borderId="11" xfId="0" applyNumberFormat="1" applyFont="1" applyFill="1" applyBorder="1" applyAlignment="1" applyProtection="1">
      <alignment horizontal="center"/>
      <protection hidden="1"/>
    </xf>
    <xf numFmtId="0" fontId="35" fillId="0" borderId="0" xfId="0" applyFont="1" applyAlignment="1" applyProtection="1">
      <alignment horizont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 textRotation="90" wrapText="1"/>
      <protection hidden="1"/>
    </xf>
    <xf numFmtId="0" fontId="22" fillId="0" borderId="0" xfId="0" applyFont="1" applyAlignment="1" applyProtection="1">
      <alignment horizontal="center" textRotation="90"/>
      <protection hidden="1"/>
    </xf>
    <xf numFmtId="0" fontId="33" fillId="0" borderId="0" xfId="0" applyFont="1" applyAlignment="1" applyProtection="1">
      <alignment horizontal="right" vertical="center" textRotation="90"/>
      <protection hidden="1"/>
    </xf>
    <xf numFmtId="0" fontId="64" fillId="0" borderId="0" xfId="0" applyFont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</cellXfs>
  <cellStyles count="12">
    <cellStyle name="Normal" xfId="0"/>
    <cellStyle name="#.##0,#ROT-" xfId="15"/>
    <cellStyle name="#.##0,00 ROT-" xfId="16"/>
    <cellStyle name="%" xfId="17"/>
    <cellStyle name="%-1" xfId="18"/>
    <cellStyle name="datum" xfId="19"/>
    <cellStyle name="datum2000" xfId="20"/>
    <cellStyle name="Comma" xfId="21"/>
    <cellStyle name="Comma [0]" xfId="22"/>
    <cellStyle name="Percent" xfId="23"/>
    <cellStyle name="Standard_KOST_STD" xfId="24"/>
    <cellStyle name="Currency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9</xdr:row>
      <xdr:rowOff>9525</xdr:rowOff>
    </xdr:from>
    <xdr:to>
      <xdr:col>16</xdr:col>
      <xdr:colOff>0</xdr:colOff>
      <xdr:row>13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210300" y="1352550"/>
          <a:ext cx="2724150" cy="523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( a - b ) x ( c' - b' )
 Honorar a' = b' + ----------------------------
                                   c - 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2</xdr:row>
      <xdr:rowOff>9525</xdr:rowOff>
    </xdr:from>
    <xdr:to>
      <xdr:col>8</xdr:col>
      <xdr:colOff>257175</xdr:colOff>
      <xdr:row>16</xdr:row>
      <xdr:rowOff>95250</xdr:rowOff>
    </xdr:to>
    <xdr:sp>
      <xdr:nvSpPr>
        <xdr:cNvPr id="1" name="TextBox 971"/>
        <xdr:cNvSpPr txBox="1">
          <a:spLocks noChangeArrowheads="1"/>
        </xdr:cNvSpPr>
      </xdr:nvSpPr>
      <xdr:spPr>
        <a:xfrm>
          <a:off x="4886325" y="447675"/>
          <a:ext cx="371475" cy="23622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2000" b="0" i="0" u="none" baseline="0">
              <a:solidFill>
                <a:srgbClr val="969696"/>
              </a:solidFill>
            </a:rPr>
            <a:t>DEMO-VERSION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104775</xdr:rowOff>
    </xdr:from>
    <xdr:to>
      <xdr:col>13</xdr:col>
      <xdr:colOff>28575</xdr:colOff>
      <xdr:row>8</xdr:row>
      <xdr:rowOff>9525</xdr:rowOff>
    </xdr:to>
    <xdr:sp>
      <xdr:nvSpPr>
        <xdr:cNvPr id="1" name="TextBox 113"/>
        <xdr:cNvSpPr txBox="1">
          <a:spLocks noChangeArrowheads="1"/>
        </xdr:cNvSpPr>
      </xdr:nvSpPr>
      <xdr:spPr>
        <a:xfrm>
          <a:off x="1943100" y="590550"/>
          <a:ext cx="56578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solidFill>
                <a:srgbClr val="808080"/>
              </a:solidFill>
            </a:rPr>
            <a:t>DEMO-VERSION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38100</xdr:rowOff>
    </xdr:from>
    <xdr:to>
      <xdr:col>13</xdr:col>
      <xdr:colOff>647700</xdr:colOff>
      <xdr:row>5</xdr:row>
      <xdr:rowOff>581025</xdr:rowOff>
    </xdr:to>
    <xdr:sp>
      <xdr:nvSpPr>
        <xdr:cNvPr id="1" name="TextBox 23"/>
        <xdr:cNvSpPr txBox="1">
          <a:spLocks noChangeArrowheads="1"/>
        </xdr:cNvSpPr>
      </xdr:nvSpPr>
      <xdr:spPr>
        <a:xfrm>
          <a:off x="304800" y="685800"/>
          <a:ext cx="56578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solidFill>
                <a:srgbClr val="808080"/>
              </a:solidFill>
            </a:rPr>
            <a:t>DEMO-VERSION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showZeros="0" workbookViewId="0" topLeftCell="A1">
      <selection activeCell="D8" sqref="D8"/>
    </sheetView>
  </sheetViews>
  <sheetFormatPr defaultColWidth="11.421875" defaultRowHeight="12.75"/>
  <cols>
    <col min="1" max="1" width="3.8515625" style="101" customWidth="1"/>
    <col min="2" max="4" width="11.421875" style="101" customWidth="1"/>
    <col min="5" max="5" width="2.7109375" style="101" bestFit="1" customWidth="1"/>
    <col min="6" max="11" width="11.421875" style="482" customWidth="1"/>
    <col min="12" max="12" width="3.00390625" style="101" customWidth="1"/>
    <col min="13" max="13" width="15.00390625" style="101" bestFit="1" customWidth="1"/>
    <col min="14" max="14" width="3.7109375" style="101" bestFit="1" customWidth="1"/>
    <col min="15" max="15" width="3.421875" style="101" bestFit="1" customWidth="1"/>
    <col min="16" max="20" width="4.28125" style="101" customWidth="1"/>
    <col min="21" max="21" width="4.57421875" style="101" customWidth="1"/>
    <col min="22" max="22" width="5.57421875" style="101" customWidth="1"/>
    <col min="23" max="23" width="7.140625" style="101" customWidth="1"/>
    <col min="24" max="24" width="7.00390625" style="101" customWidth="1"/>
    <col min="25" max="25" width="6.57421875" style="101" bestFit="1" customWidth="1"/>
    <col min="26" max="26" width="5.00390625" style="101" bestFit="1" customWidth="1"/>
    <col min="27" max="27" width="3.00390625" style="101" customWidth="1"/>
    <col min="28" max="28" width="5.00390625" style="101" bestFit="1" customWidth="1"/>
    <col min="29" max="16384" width="11.421875" style="101" customWidth="1"/>
  </cols>
  <sheetData>
    <row r="1" spans="1:20" ht="12.75">
      <c r="A1" s="465" t="str">
        <f>IF(STAMMDATEN!$A$28="X","X",IF(STAMMDATEN!$A$29="X","X",""))</f>
        <v>X</v>
      </c>
      <c r="B1" s="454" t="s">
        <v>250</v>
      </c>
      <c r="C1" s="474"/>
      <c r="D1" s="456" t="s">
        <v>247</v>
      </c>
      <c r="E1" s="481">
        <v>16</v>
      </c>
      <c r="F1" s="500" t="str">
        <f>IF(STAMMDATEN!A15="X","X","")</f>
        <v>X</v>
      </c>
      <c r="G1" s="500">
        <f>IF(STAMMDATEN!A16="X","X","")</f>
      </c>
      <c r="H1" s="500">
        <f>IF(STAMMDATEN!A17="X","X","")</f>
      </c>
      <c r="I1" s="500">
        <f>IF(STAMMDATEN!A18="X","X","")</f>
      </c>
      <c r="J1" s="500">
        <f>IF(STAMMDATEN!A19="X","X","")</f>
      </c>
      <c r="K1" s="492"/>
      <c r="L1" s="483"/>
      <c r="M1" s="484"/>
      <c r="N1" s="398"/>
      <c r="O1" s="465"/>
      <c r="P1" s="138">
        <v>0</v>
      </c>
      <c r="Q1" s="138">
        <v>1</v>
      </c>
      <c r="R1" s="138">
        <v>2</v>
      </c>
      <c r="S1" s="138">
        <v>3</v>
      </c>
      <c r="T1" s="138">
        <v>4</v>
      </c>
    </row>
    <row r="2" spans="1:20" ht="12.75">
      <c r="A2" s="465">
        <f>IF(STAMMDATEN!$A$29="X","X","")</f>
      </c>
      <c r="B2" s="455" t="s">
        <v>21</v>
      </c>
      <c r="C2" s="485"/>
      <c r="D2" s="457" t="s">
        <v>247</v>
      </c>
      <c r="E2" s="460">
        <v>16</v>
      </c>
      <c r="F2" s="486" t="s">
        <v>240</v>
      </c>
      <c r="G2" s="487" t="s">
        <v>241</v>
      </c>
      <c r="H2" s="488" t="s">
        <v>242</v>
      </c>
      <c r="I2" s="489" t="s">
        <v>243</v>
      </c>
      <c r="J2" s="490" t="s">
        <v>244</v>
      </c>
      <c r="K2" s="491"/>
      <c r="L2" s="483"/>
      <c r="M2" s="442" t="s">
        <v>91</v>
      </c>
      <c r="N2" s="443" t="s">
        <v>82</v>
      </c>
      <c r="O2" s="444" t="s">
        <v>83</v>
      </c>
      <c r="P2" s="465" t="str">
        <f>IF(STAMMDATEN!$C$15="X","X","")</f>
        <v>X</v>
      </c>
      <c r="Q2" s="465">
        <f>IF(STAMMDATEN!$C$16="X","X","")</f>
      </c>
      <c r="R2" s="465">
        <f>IF(STAMMDATEN!$C$17="X","X","")</f>
      </c>
      <c r="S2" s="465">
        <f>IF(STAMMDATEN!$C$18="X","X","")</f>
      </c>
      <c r="T2" s="465">
        <f>IF(STAMMDATEN!$C$19="X","X","")</f>
      </c>
    </row>
    <row r="3" spans="1:21" ht="12.75">
      <c r="A3" s="549"/>
      <c r="B3" s="549" t="s">
        <v>324</v>
      </c>
      <c r="C3" s="483"/>
      <c r="D3" s="483"/>
      <c r="F3" s="492"/>
      <c r="G3" s="487" t="s">
        <v>82</v>
      </c>
      <c r="H3" s="487" t="s">
        <v>83</v>
      </c>
      <c r="I3" s="489" t="s">
        <v>82</v>
      </c>
      <c r="J3" s="489" t="s">
        <v>83</v>
      </c>
      <c r="K3" s="491"/>
      <c r="L3" s="465" t="str">
        <f>IF(F1="X","X","")</f>
        <v>X</v>
      </c>
      <c r="M3" s="451" t="s">
        <v>8</v>
      </c>
      <c r="N3" s="445">
        <v>0</v>
      </c>
      <c r="O3" s="446">
        <v>10</v>
      </c>
      <c r="P3" s="453">
        <f>IF($A$1="X",SUM($O3-$N3)/4*P$1,"")</f>
        <v>0</v>
      </c>
      <c r="Q3" s="453">
        <f aca="true" t="shared" si="0" ref="Q3:T7">IF($A$1="X",SUM($O3-$N3)/4*Q$1,"")</f>
        <v>2.5</v>
      </c>
      <c r="R3" s="453">
        <f t="shared" si="0"/>
        <v>5</v>
      </c>
      <c r="S3" s="453">
        <f t="shared" si="0"/>
        <v>7.5</v>
      </c>
      <c r="T3" s="453">
        <f t="shared" si="0"/>
        <v>10</v>
      </c>
      <c r="U3" s="447">
        <f>IF($P$2="X",P3,IF($Q$2="X",Q3,IF($R$2="X",R3,IF($S$2="X",S3,IF($T$2="X",T3,"")))))</f>
        <v>0</v>
      </c>
    </row>
    <row r="4" spans="2:21" ht="12.75">
      <c r="B4" s="493" t="s">
        <v>252</v>
      </c>
      <c r="C4" s="494" t="s">
        <v>248</v>
      </c>
      <c r="F4" s="486" t="s">
        <v>82</v>
      </c>
      <c r="G4" s="486" t="s">
        <v>83</v>
      </c>
      <c r="H4" s="488" t="s">
        <v>82</v>
      </c>
      <c r="I4" s="488" t="s">
        <v>83</v>
      </c>
      <c r="J4" s="490" t="s">
        <v>82</v>
      </c>
      <c r="K4" s="490" t="s">
        <v>83</v>
      </c>
      <c r="L4" s="465">
        <f>IF(G1="X","X","")</f>
      </c>
      <c r="M4" s="452" t="s">
        <v>10</v>
      </c>
      <c r="N4" s="447">
        <v>11</v>
      </c>
      <c r="O4" s="448">
        <v>18</v>
      </c>
      <c r="P4" s="453">
        <f>IF($A$1="X",SUM($O4-$N4)/4*P$1,"")</f>
        <v>0</v>
      </c>
      <c r="Q4" s="453">
        <f t="shared" si="0"/>
        <v>1.75</v>
      </c>
      <c r="R4" s="453">
        <f t="shared" si="0"/>
        <v>3.5</v>
      </c>
      <c r="S4" s="453">
        <f t="shared" si="0"/>
        <v>5.25</v>
      </c>
      <c r="T4" s="453">
        <f t="shared" si="0"/>
        <v>7</v>
      </c>
      <c r="U4" s="447">
        <f>IF($P$2="X",P4,IF($Q$2="X",Q4,IF($R$2="X",R4,IF($S$2="X",S4,IF($T$2="X",T4,"")))))</f>
        <v>0</v>
      </c>
    </row>
    <row r="5" spans="2:21" ht="12.75">
      <c r="B5" s="497">
        <v>500</v>
      </c>
      <c r="C5" s="106">
        <f>IF($F$1="X",F5,IF($G$1="X",G5,IF($H$1="X",H5,IF($I$1="X",I5,IF($J$1="X",J5,"")))))</f>
        <v>38.8</v>
      </c>
      <c r="D5" s="106">
        <f>IF($F$1="X",G5,IF($G$1="X",H5,IF($H$1="X",I5,IF($I$1="X",J5,IF($J$1="X",K5,"")))))</f>
        <v>47.19</v>
      </c>
      <c r="F5" s="497">
        <v>38.8</v>
      </c>
      <c r="G5" s="497">
        <v>47.19</v>
      </c>
      <c r="H5" s="497">
        <v>58.5</v>
      </c>
      <c r="I5" s="497">
        <v>75.4</v>
      </c>
      <c r="J5" s="497">
        <v>86.7</v>
      </c>
      <c r="K5" s="497">
        <v>95.09</v>
      </c>
      <c r="L5" s="465">
        <f>IF(H1="X","X","")</f>
      </c>
      <c r="M5" s="452" t="s">
        <v>12</v>
      </c>
      <c r="N5" s="447">
        <v>19</v>
      </c>
      <c r="O5" s="448">
        <v>26</v>
      </c>
      <c r="P5" s="453">
        <f>IF($A$1="X",SUM($O5-$N5)/4*P$1,"")</f>
        <v>0</v>
      </c>
      <c r="Q5" s="453">
        <f t="shared" si="0"/>
        <v>1.75</v>
      </c>
      <c r="R5" s="453">
        <f t="shared" si="0"/>
        <v>3.5</v>
      </c>
      <c r="S5" s="453">
        <f t="shared" si="0"/>
        <v>5.25</v>
      </c>
      <c r="T5" s="453">
        <f t="shared" si="0"/>
        <v>7</v>
      </c>
      <c r="U5" s="447">
        <f>IF($P$2="X",P5,IF($Q$2="X",Q5,IF($R$2="X",R5,IF($S$2="X",S5,IF($T$2="X",T5,"")))))</f>
        <v>0</v>
      </c>
    </row>
    <row r="6" spans="2:21" ht="12.75">
      <c r="B6" s="99"/>
      <c r="F6" s="100"/>
      <c r="G6" s="100"/>
      <c r="H6" s="100"/>
      <c r="I6" s="100"/>
      <c r="J6" s="100"/>
      <c r="K6" s="100"/>
      <c r="L6" s="465">
        <f>IF(I1="X","X","")</f>
      </c>
      <c r="M6" s="452" t="s">
        <v>16</v>
      </c>
      <c r="N6" s="447">
        <v>27</v>
      </c>
      <c r="O6" s="448">
        <v>34</v>
      </c>
      <c r="P6" s="453">
        <f>IF($A$1="X",SUM($O6-$N6)/4*P$1,"")</f>
        <v>0</v>
      </c>
      <c r="Q6" s="453">
        <f t="shared" si="0"/>
        <v>1.75</v>
      </c>
      <c r="R6" s="453">
        <f t="shared" si="0"/>
        <v>3.5</v>
      </c>
      <c r="S6" s="453">
        <f t="shared" si="0"/>
        <v>5.25</v>
      </c>
      <c r="T6" s="453">
        <f t="shared" si="0"/>
        <v>7</v>
      </c>
      <c r="U6" s="447">
        <f>IF($P$2="X",P6,IF($Q$2="X",Q6,IF($R$2="X",R6,IF($S$2="X",S6,IF($T$2="X",T6,"")))))</f>
        <v>0</v>
      </c>
    </row>
    <row r="7" spans="2:21" ht="12.75" customHeight="1">
      <c r="B7" s="497">
        <v>20452</v>
      </c>
      <c r="C7" s="106">
        <f>IF($F$1="X",F7,IF($G$1="X",G7,IF($H$1="X",H7,IF($I$1="X",I7,IF($J$1="X",J7,"")))))</f>
        <v>1587.2</v>
      </c>
      <c r="D7" s="106">
        <f>IF($F$1="X",G7,IF($G$1="X",H7,IF($H$1="X",I7,IF($I$1="X",J7,IF($J$1="X",K7,"")))))</f>
        <v>1930.4</v>
      </c>
      <c r="F7" s="497">
        <v>1587.2</v>
      </c>
      <c r="G7" s="497">
        <v>1930.4</v>
      </c>
      <c r="H7" s="497">
        <v>2392.8</v>
      </c>
      <c r="I7" s="497">
        <v>3084</v>
      </c>
      <c r="J7" s="497">
        <v>3546.5</v>
      </c>
      <c r="K7" s="497">
        <v>3889.6</v>
      </c>
      <c r="L7" s="465">
        <f>IF(J1="X","X","")</f>
      </c>
      <c r="M7" s="452" t="s">
        <v>14</v>
      </c>
      <c r="N7" s="449">
        <v>35</v>
      </c>
      <c r="O7" s="450">
        <v>42</v>
      </c>
      <c r="P7" s="453">
        <f>IF($A$1="X",SUM($O7-$N7)/4*P$1,"")</f>
        <v>0</v>
      </c>
      <c r="Q7" s="453">
        <f t="shared" si="0"/>
        <v>1.75</v>
      </c>
      <c r="R7" s="453">
        <f t="shared" si="0"/>
        <v>3.5</v>
      </c>
      <c r="S7" s="453">
        <f t="shared" si="0"/>
        <v>5.25</v>
      </c>
      <c r="T7" s="453">
        <f t="shared" si="0"/>
        <v>7</v>
      </c>
      <c r="U7" s="447">
        <f>IF($P$2="X",P7,IF($Q$2="X",Q7,IF($R$2="X",R7,IF($S$2="X",S7,IF($T$2="X",T7,"")))))</f>
        <v>0</v>
      </c>
    </row>
    <row r="8" spans="2:20" ht="12.75" customHeight="1">
      <c r="B8" s="99"/>
      <c r="F8" s="99"/>
      <c r="G8" s="99"/>
      <c r="H8" s="99"/>
      <c r="I8" s="99"/>
      <c r="J8" s="99"/>
      <c r="K8" s="99"/>
      <c r="P8" s="600" t="s">
        <v>9</v>
      </c>
      <c r="Q8" s="600" t="s">
        <v>11</v>
      </c>
      <c r="R8" s="600" t="s">
        <v>13</v>
      </c>
      <c r="S8" s="600" t="s">
        <v>15</v>
      </c>
      <c r="T8" s="600" t="s">
        <v>17</v>
      </c>
    </row>
    <row r="9" spans="2:20" ht="12.75">
      <c r="B9" s="497">
        <v>25565</v>
      </c>
      <c r="C9" s="106">
        <f>IF($F$1="X",F9,IF($G$1="X",G9,IF($H$1="X",H9,IF($I$1="X",I9,IF($J$1="X",J9,"")))))</f>
        <v>1984</v>
      </c>
      <c r="D9" s="106">
        <f>IF($F$1="X",G9,IF($G$1="X",H9,IF($H$1="X",I9,IF($I$1="X",J9,IF($J$1="X",K9,"")))))</f>
        <v>2413</v>
      </c>
      <c r="F9" s="497">
        <v>1984</v>
      </c>
      <c r="G9" s="497">
        <v>2413</v>
      </c>
      <c r="H9" s="497">
        <v>2991</v>
      </c>
      <c r="I9" s="497">
        <v>3855</v>
      </c>
      <c r="J9" s="497">
        <v>4433</v>
      </c>
      <c r="K9" s="497">
        <v>4862</v>
      </c>
      <c r="P9" s="600"/>
      <c r="Q9" s="600"/>
      <c r="R9" s="600"/>
      <c r="S9" s="600"/>
      <c r="T9" s="600"/>
    </row>
    <row r="10" spans="2:20" ht="12.75">
      <c r="B10" s="99"/>
      <c r="F10" s="99"/>
      <c r="G10" s="99"/>
      <c r="H10" s="99"/>
      <c r="I10" s="99"/>
      <c r="J10" s="99"/>
      <c r="K10" s="99"/>
      <c r="P10" s="600"/>
      <c r="Q10" s="600"/>
      <c r="R10" s="600"/>
      <c r="S10" s="600"/>
      <c r="T10" s="600"/>
    </row>
    <row r="11" spans="2:20" ht="12.75" customHeight="1">
      <c r="B11" s="497">
        <v>30000</v>
      </c>
      <c r="C11" s="106">
        <f>IF($F$1="X",F11,IF($G$1="X",G11,IF($H$1="X",H11,IF($I$1="X",I11,IF($J$1="X",J11,"")))))</f>
        <v>2325</v>
      </c>
      <c r="D11" s="106">
        <f>IF($F$1="X",G11,IF($G$1="X",H11,IF($H$1="X",I11,IF($I$1="X",J11,IF($J$1="X",K11,"")))))</f>
        <v>2826</v>
      </c>
      <c r="F11" s="497">
        <v>2325</v>
      </c>
      <c r="G11" s="497">
        <v>2826</v>
      </c>
      <c r="H11" s="497">
        <v>3497</v>
      </c>
      <c r="I11" s="497">
        <v>4498</v>
      </c>
      <c r="J11" s="497">
        <v>5169</v>
      </c>
      <c r="K11" s="497">
        <v>5670</v>
      </c>
      <c r="P11" s="600"/>
      <c r="Q11" s="600"/>
      <c r="R11" s="600"/>
      <c r="S11" s="600"/>
      <c r="T11" s="600"/>
    </row>
    <row r="12" spans="2:20" ht="12.75">
      <c r="B12" s="99"/>
      <c r="F12" s="99"/>
      <c r="G12" s="99"/>
      <c r="H12" s="99"/>
      <c r="I12" s="99"/>
      <c r="J12" s="99"/>
      <c r="K12" s="99"/>
      <c r="P12" s="601"/>
      <c r="Q12" s="601"/>
      <c r="R12" s="601"/>
      <c r="S12" s="601"/>
      <c r="T12" s="601"/>
    </row>
    <row r="13" spans="2:11" ht="12.75">
      <c r="B13" s="497">
        <v>35000</v>
      </c>
      <c r="C13" s="106">
        <f>IF($F$1="X",F13,IF($G$1="X",G13,IF($H$1="X",H13,IF($I$1="X",I13,IF($J$1="X",J13,"")))))</f>
        <v>2719</v>
      </c>
      <c r="D13" s="106">
        <f>IF($F$1="X",G13,IF($G$1="X",H13,IF($H$1="X",I13,IF($I$1="X",J13,IF($J$1="X",K13,"")))))</f>
        <v>3299</v>
      </c>
      <c r="F13" s="497">
        <v>2719</v>
      </c>
      <c r="G13" s="497">
        <v>3299</v>
      </c>
      <c r="H13" s="497">
        <v>4075</v>
      </c>
      <c r="I13" s="497">
        <v>5236</v>
      </c>
      <c r="J13" s="497">
        <v>6012</v>
      </c>
      <c r="K13" s="497">
        <v>6593</v>
      </c>
    </row>
    <row r="14" spans="2:20" ht="12.75">
      <c r="B14" s="99"/>
      <c r="F14" s="99"/>
      <c r="G14" s="99"/>
      <c r="H14" s="99"/>
      <c r="I14" s="99"/>
      <c r="J14" s="99"/>
      <c r="K14" s="99"/>
      <c r="N14" s="433">
        <f aca="true" t="shared" si="1" ref="N14:T14">IF($L3="X",N3,IF($L4="X",N4,IF($L5="X",N5,IF($L6="X",N6,IF($L7="X",N7,"")))))</f>
        <v>0</v>
      </c>
      <c r="O14" s="433">
        <f t="shared" si="1"/>
        <v>10</v>
      </c>
      <c r="P14" s="1">
        <f t="shared" si="1"/>
        <v>0</v>
      </c>
      <c r="Q14" s="1">
        <f t="shared" si="1"/>
        <v>2.5</v>
      </c>
      <c r="R14" s="1">
        <f t="shared" si="1"/>
        <v>5</v>
      </c>
      <c r="S14" s="1">
        <f t="shared" si="1"/>
        <v>7.5</v>
      </c>
      <c r="T14" s="1">
        <f t="shared" si="1"/>
        <v>10</v>
      </c>
    </row>
    <row r="15" spans="2:11" ht="12.75">
      <c r="B15" s="497">
        <v>40000</v>
      </c>
      <c r="C15" s="106">
        <f>IF($F$1="X",F15,IF($G$1="X",G15,IF($H$1="X",H15,IF($I$1="X",I15,IF($J$1="X",J15,"")))))</f>
        <v>3101</v>
      </c>
      <c r="D15" s="106">
        <f>IF($F$1="X",G15,IF($G$1="X",H15,IF($H$1="X",I15,IF($I$1="X",J15,IF($J$1="X",K15,"")))))</f>
        <v>3762</v>
      </c>
      <c r="F15" s="497">
        <v>3101</v>
      </c>
      <c r="G15" s="497">
        <v>3762</v>
      </c>
      <c r="H15" s="497">
        <v>4647</v>
      </c>
      <c r="I15" s="497">
        <v>5968</v>
      </c>
      <c r="J15" s="497">
        <v>6853</v>
      </c>
      <c r="K15" s="497">
        <v>7513</v>
      </c>
    </row>
    <row r="16" spans="2:11" ht="12.75">
      <c r="B16" s="99"/>
      <c r="F16" s="99"/>
      <c r="G16" s="99"/>
      <c r="H16" s="99"/>
      <c r="I16" s="99"/>
      <c r="J16" s="99"/>
      <c r="K16" s="99"/>
    </row>
    <row r="17" spans="2:21" ht="12.75">
      <c r="B17" s="497">
        <v>45000</v>
      </c>
      <c r="C17" s="106">
        <f>IF($F$1="X",F17,IF($G$1="X",G17,IF($H$1="X",H17,IF($I$1="X",I17,IF($J$1="X",J17,"")))))</f>
        <v>3494</v>
      </c>
      <c r="D17" s="106">
        <f>IF($F$1="X",G17,IF($G$1="X",H17,IF($H$1="X",I17,IF($I$1="X",J17,IF($J$1="X",K17,"")))))</f>
        <v>4234</v>
      </c>
      <c r="F17" s="497">
        <v>3494</v>
      </c>
      <c r="G17" s="497">
        <v>4234</v>
      </c>
      <c r="H17" s="497">
        <v>5221</v>
      </c>
      <c r="I17" s="497">
        <v>6702</v>
      </c>
      <c r="J17" s="497">
        <v>7689</v>
      </c>
      <c r="K17" s="497">
        <v>8429</v>
      </c>
      <c r="L17" s="495">
        <f>IF(STAMMDATEN!A29="X","X","")</f>
      </c>
      <c r="T17" s="465" t="str">
        <f>IF(A1="X","X","")</f>
        <v>X</v>
      </c>
      <c r="U17" s="465">
        <f>IF(A2="X","X","")</f>
      </c>
    </row>
    <row r="18" spans="2:21" ht="12.75">
      <c r="B18" s="99"/>
      <c r="F18" s="99"/>
      <c r="G18" s="99"/>
      <c r="H18" s="99"/>
      <c r="I18" s="99"/>
      <c r="J18" s="99"/>
      <c r="K18" s="99"/>
      <c r="R18" s="220" t="s">
        <v>245</v>
      </c>
      <c r="T18" s="220" t="s">
        <v>20</v>
      </c>
      <c r="U18" s="157" t="s">
        <v>253</v>
      </c>
    </row>
    <row r="19" spans="2:21" ht="12.75">
      <c r="B19" s="497">
        <v>50000</v>
      </c>
      <c r="C19" s="106">
        <f>IF($F$1="X",F19,IF($G$1="X",G19,IF($H$1="X",H19,IF($I$1="X",I19,IF($J$1="X",J19,"")))))</f>
        <v>3881</v>
      </c>
      <c r="D19" s="106">
        <f>IF($F$1="X",G19,IF($G$1="X",H19,IF($H$1="X",I19,IF($I$1="X",J19,IF($J$1="X",K19,"")))))</f>
        <v>4697</v>
      </c>
      <c r="F19" s="497">
        <v>3881</v>
      </c>
      <c r="G19" s="497">
        <v>4697</v>
      </c>
      <c r="H19" s="497">
        <v>5780</v>
      </c>
      <c r="I19" s="497">
        <v>7413</v>
      </c>
      <c r="J19" s="497">
        <v>8496</v>
      </c>
      <c r="K19" s="497">
        <v>9312</v>
      </c>
      <c r="L19" s="101" t="s">
        <v>185</v>
      </c>
      <c r="S19" s="572" t="s">
        <v>256</v>
      </c>
      <c r="T19" s="461" t="s">
        <v>251</v>
      </c>
      <c r="U19" s="460" t="s">
        <v>254</v>
      </c>
    </row>
    <row r="20" spans="2:21" ht="12.75">
      <c r="B20" s="99"/>
      <c r="F20" s="99"/>
      <c r="G20" s="99"/>
      <c r="H20" s="99"/>
      <c r="I20" s="99"/>
      <c r="J20" s="99"/>
      <c r="K20" s="99"/>
      <c r="L20" s="493">
        <v>1</v>
      </c>
      <c r="M20" s="101" t="s">
        <v>24</v>
      </c>
      <c r="S20" s="237">
        <f aca="true" t="shared" si="2" ref="S20:S28">IF($T$17="X",T20,IF($U$17="X",U20,""))</f>
        <v>0.03</v>
      </c>
      <c r="T20" s="237">
        <v>0.03</v>
      </c>
      <c r="U20" s="237">
        <v>0.03</v>
      </c>
    </row>
    <row r="21" spans="2:21" ht="12.75">
      <c r="B21" s="497">
        <v>100000</v>
      </c>
      <c r="C21" s="106">
        <f>IF($F$1="X",F21,IF($G$1="X",G21,IF($H$1="X",H21,IF($I$1="X",I21,IF($J$1="X",J21,"")))))</f>
        <v>7755</v>
      </c>
      <c r="D21" s="106">
        <f>IF($F$1="X",G21,IF($G$1="X",H21,IF($H$1="X",I21,IF($I$1="X",J21,IF($J$1="X",K21,"")))))</f>
        <v>9278</v>
      </c>
      <c r="F21" s="497">
        <v>7755</v>
      </c>
      <c r="G21" s="497">
        <v>9278</v>
      </c>
      <c r="H21" s="497">
        <v>11311</v>
      </c>
      <c r="I21" s="497">
        <v>14360</v>
      </c>
      <c r="J21" s="497">
        <v>16393</v>
      </c>
      <c r="K21" s="497">
        <v>17916</v>
      </c>
      <c r="L21" s="493">
        <v>2</v>
      </c>
      <c r="M21" s="101" t="s">
        <v>25</v>
      </c>
      <c r="S21" s="237">
        <f t="shared" si="2"/>
        <v>0.07</v>
      </c>
      <c r="T21" s="237">
        <v>0.07</v>
      </c>
      <c r="U21" s="237">
        <v>0.07</v>
      </c>
    </row>
    <row r="22" spans="2:21" ht="12.75">
      <c r="B22" s="99"/>
      <c r="F22" s="99"/>
      <c r="G22" s="99"/>
      <c r="H22" s="99"/>
      <c r="I22" s="99"/>
      <c r="J22" s="99"/>
      <c r="K22" s="99"/>
      <c r="L22" s="493">
        <v>3</v>
      </c>
      <c r="M22" s="101" t="s">
        <v>26</v>
      </c>
      <c r="S22" s="237">
        <f t="shared" si="2"/>
        <v>0.11</v>
      </c>
      <c r="T22" s="237">
        <v>0.11</v>
      </c>
      <c r="U22" s="237">
        <v>0.14</v>
      </c>
    </row>
    <row r="23" spans="2:21" ht="12.75">
      <c r="B23" s="497">
        <v>150000</v>
      </c>
      <c r="C23" s="106">
        <f>IF($F$1="X",F23,IF($G$1="X",G23,IF($H$1="X",H23,IF($I$1="X",I23,IF($J$1="X",J23,"")))))</f>
        <v>11635</v>
      </c>
      <c r="D23" s="106">
        <f>IF($F$1="X",G23,IF($G$1="X",H23,IF($H$1="X",I23,IF($I$1="X",J23,IF($J$1="X",K23,"")))))</f>
        <v>13753</v>
      </c>
      <c r="F23" s="497">
        <v>11635</v>
      </c>
      <c r="G23" s="497">
        <v>13753</v>
      </c>
      <c r="H23" s="497">
        <v>16578</v>
      </c>
      <c r="I23" s="497">
        <v>20818</v>
      </c>
      <c r="J23" s="497">
        <v>23644</v>
      </c>
      <c r="K23" s="497">
        <v>25761</v>
      </c>
      <c r="L23" s="493">
        <v>4</v>
      </c>
      <c r="M23" s="101" t="s">
        <v>49</v>
      </c>
      <c r="S23" s="237">
        <f t="shared" si="2"/>
        <v>0.06</v>
      </c>
      <c r="T23" s="237">
        <v>0.06</v>
      </c>
      <c r="U23" s="237">
        <v>0.02</v>
      </c>
    </row>
    <row r="24" spans="2:21" ht="12.75">
      <c r="B24" s="99"/>
      <c r="F24" s="99"/>
      <c r="G24" s="99"/>
      <c r="H24" s="99"/>
      <c r="I24" s="99"/>
      <c r="J24" s="99"/>
      <c r="K24" s="99"/>
      <c r="L24" s="493">
        <v>5</v>
      </c>
      <c r="M24" s="101" t="s">
        <v>27</v>
      </c>
      <c r="S24" s="237">
        <f t="shared" si="2"/>
        <v>0.25</v>
      </c>
      <c r="T24" s="237">
        <v>0.25</v>
      </c>
      <c r="U24" s="237">
        <v>0.3</v>
      </c>
    </row>
    <row r="25" spans="2:21" ht="12.75">
      <c r="B25" s="497">
        <v>200000</v>
      </c>
      <c r="C25" s="106">
        <f>IF($F$1="X",F25,IF($G$1="X",G25,IF($H$1="X",H25,IF($I$1="X",I25,IF($J$1="X",J25,"")))))</f>
        <v>15510</v>
      </c>
      <c r="D25" s="106">
        <f>IF($F$1="X",G25,IF($G$1="X",H25,IF($H$1="X",I25,IF($I$1="X",J25,IF($J$1="X",K25,"")))))</f>
        <v>18115</v>
      </c>
      <c r="F25" s="497">
        <v>15510</v>
      </c>
      <c r="G25" s="497">
        <v>18115</v>
      </c>
      <c r="H25" s="497">
        <v>21586</v>
      </c>
      <c r="I25" s="497">
        <v>26792</v>
      </c>
      <c r="J25" s="497">
        <v>30263</v>
      </c>
      <c r="K25" s="497">
        <v>32868</v>
      </c>
      <c r="L25" s="493">
        <v>6</v>
      </c>
      <c r="M25" s="101" t="s">
        <v>255</v>
      </c>
      <c r="S25" s="237">
        <f t="shared" si="2"/>
        <v>0.1</v>
      </c>
      <c r="T25" s="237">
        <v>0.1</v>
      </c>
      <c r="U25" s="237">
        <v>0.07</v>
      </c>
    </row>
    <row r="26" spans="2:21" ht="12.75">
      <c r="B26" s="99"/>
      <c r="F26" s="99"/>
      <c r="G26" s="99"/>
      <c r="H26" s="99"/>
      <c r="I26" s="99"/>
      <c r="J26" s="99"/>
      <c r="K26" s="99"/>
      <c r="L26" s="493">
        <v>7</v>
      </c>
      <c r="M26" s="101" t="s">
        <v>29</v>
      </c>
      <c r="S26" s="237">
        <f t="shared" si="2"/>
        <v>0.04</v>
      </c>
      <c r="T26" s="237">
        <v>0.04</v>
      </c>
      <c r="U26" s="237">
        <v>0.03</v>
      </c>
    </row>
    <row r="27" spans="2:21" ht="12.75">
      <c r="B27" s="497">
        <v>250000</v>
      </c>
      <c r="C27" s="106">
        <f>IF($F$1="X",F27,IF($G$1="X",G27,IF($H$1="X",H27,IF($I$1="X",I27,IF($J$1="X",J27,"")))))</f>
        <v>19385</v>
      </c>
      <c r="D27" s="106">
        <f>IF($F$1="X",G27,IF($G$1="X",H27,IF($H$1="X",I27,IF($I$1="X",J27,IF($J$1="X",K27,"")))))</f>
        <v>22384</v>
      </c>
      <c r="F27" s="497">
        <v>19385</v>
      </c>
      <c r="G27" s="497">
        <v>22384</v>
      </c>
      <c r="H27" s="497">
        <v>26380</v>
      </c>
      <c r="I27" s="497">
        <v>32373</v>
      </c>
      <c r="J27" s="497">
        <v>36369</v>
      </c>
      <c r="K27" s="497">
        <v>39368</v>
      </c>
      <c r="L27" s="493">
        <v>8</v>
      </c>
      <c r="M27" s="101" t="s">
        <v>30</v>
      </c>
      <c r="S27" s="237">
        <f t="shared" si="2"/>
        <v>0.31</v>
      </c>
      <c r="T27" s="237">
        <v>0.31</v>
      </c>
      <c r="U27" s="237">
        <v>0.31</v>
      </c>
    </row>
    <row r="28" spans="2:21" ht="12.75">
      <c r="B28" s="99"/>
      <c r="F28" s="99"/>
      <c r="G28" s="99"/>
      <c r="H28" s="99"/>
      <c r="I28" s="99"/>
      <c r="J28" s="99"/>
      <c r="K28" s="99"/>
      <c r="L28" s="493">
        <v>9</v>
      </c>
      <c r="M28" s="101" t="s">
        <v>31</v>
      </c>
      <c r="S28" s="237">
        <f t="shared" si="2"/>
        <v>0.03</v>
      </c>
      <c r="T28" s="237">
        <v>0.03</v>
      </c>
      <c r="U28" s="237">
        <v>0.03</v>
      </c>
    </row>
    <row r="29" spans="2:24" ht="12.75">
      <c r="B29" s="497">
        <v>300000</v>
      </c>
      <c r="C29" s="106">
        <f>IF($F$1="X",F29,IF($G$1="X",G29,IF($H$1="X",H29,IF($I$1="X",I29,IF($J$1="X",J29,"")))))</f>
        <v>22484</v>
      </c>
      <c r="D29" s="106">
        <f>IF($F$1="X",G29,IF($G$1="X",H29,IF($H$1="X",I29,IF($I$1="X",J29,IF($J$1="X",K29,"")))))</f>
        <v>25983</v>
      </c>
      <c r="F29" s="497">
        <v>22484</v>
      </c>
      <c r="G29" s="497">
        <v>25983</v>
      </c>
      <c r="H29" s="497">
        <v>30650</v>
      </c>
      <c r="I29" s="497">
        <v>37643</v>
      </c>
      <c r="J29" s="497">
        <v>42309</v>
      </c>
      <c r="K29" s="497">
        <v>45808</v>
      </c>
      <c r="W29" s="496"/>
      <c r="X29" s="496"/>
    </row>
    <row r="30" spans="2:11" ht="12.75">
      <c r="B30" s="99"/>
      <c r="F30" s="99"/>
      <c r="G30" s="99"/>
      <c r="H30" s="99"/>
      <c r="I30" s="99"/>
      <c r="J30" s="99"/>
      <c r="K30" s="99"/>
    </row>
    <row r="31" spans="2:11" ht="12.75">
      <c r="B31" s="497">
        <v>350000</v>
      </c>
      <c r="C31" s="106">
        <f>IF($F$1="X",F31,IF($G$1="X",G31,IF($H$1="X",H31,IF($I$1="X",I31,IF($J$1="X",J31,"")))))</f>
        <v>25060</v>
      </c>
      <c r="D31" s="106">
        <f>IF($F$1="X",G31,IF($G$1="X",H31,IF($H$1="X",I31,IF($I$1="X",J31,IF($J$1="X",K31,"")))))</f>
        <v>29131</v>
      </c>
      <c r="F31" s="497">
        <v>25060</v>
      </c>
      <c r="G31" s="497">
        <v>29131</v>
      </c>
      <c r="H31" s="497">
        <v>34561</v>
      </c>
      <c r="I31" s="497">
        <v>42700</v>
      </c>
      <c r="J31" s="497">
        <v>48131</v>
      </c>
      <c r="K31" s="497">
        <v>52201</v>
      </c>
    </row>
    <row r="32" spans="2:11" ht="12.75">
      <c r="B32" s="99"/>
      <c r="F32" s="99"/>
      <c r="G32" s="99"/>
      <c r="H32" s="99"/>
      <c r="I32" s="99"/>
      <c r="J32" s="99"/>
      <c r="K32" s="99"/>
    </row>
    <row r="33" spans="2:11" ht="12.75">
      <c r="B33" s="497">
        <v>400000</v>
      </c>
      <c r="C33" s="106">
        <f>IF($F$1="X",F33,IF($G$1="X",G33,IF($H$1="X",H33,IF($I$1="X",I33,IF($J$1="X",J33,"")))))</f>
        <v>27272</v>
      </c>
      <c r="D33" s="106">
        <f>IF($F$1="X",G33,IF($G$1="X",H33,IF($H$1="X",I33,IF($I$1="X",J33,IF($J$1="X",K33,"")))))</f>
        <v>31922</v>
      </c>
      <c r="F33" s="497">
        <v>27272</v>
      </c>
      <c r="G33" s="497">
        <v>31922</v>
      </c>
      <c r="H33" s="497">
        <v>38127</v>
      </c>
      <c r="I33" s="497">
        <v>47432</v>
      </c>
      <c r="J33" s="497">
        <v>53637</v>
      </c>
      <c r="K33" s="497">
        <v>58287</v>
      </c>
    </row>
    <row r="34" spans="2:11" ht="12.75">
      <c r="B34" s="99"/>
      <c r="F34" s="99"/>
      <c r="G34" s="99"/>
      <c r="H34" s="99"/>
      <c r="I34" s="99"/>
      <c r="J34" s="99"/>
      <c r="K34" s="99"/>
    </row>
    <row r="35" spans="2:11" ht="12.75">
      <c r="B35" s="497">
        <v>450000</v>
      </c>
      <c r="C35" s="106">
        <f>IF($F$1="X",F35,IF($G$1="X",G35,IF($H$1="X",H35,IF($I$1="X",I35,IF($J$1="X",J35,"")))))</f>
        <v>29144</v>
      </c>
      <c r="D35" s="106">
        <f>IF($F$1="X",G35,IF($G$1="X",H35,IF($H$1="X",I35,IF($I$1="X",J35,IF($J$1="X",K35,"")))))</f>
        <v>34382</v>
      </c>
      <c r="F35" s="497">
        <v>29144</v>
      </c>
      <c r="G35" s="497">
        <v>34382</v>
      </c>
      <c r="H35" s="497">
        <v>41362</v>
      </c>
      <c r="I35" s="497">
        <v>51840</v>
      </c>
      <c r="J35" s="497">
        <v>58820</v>
      </c>
      <c r="K35" s="497">
        <v>64059</v>
      </c>
    </row>
    <row r="36" spans="2:11" ht="12.75">
      <c r="B36" s="99"/>
      <c r="F36" s="99"/>
      <c r="G36" s="99"/>
      <c r="H36" s="99"/>
      <c r="I36" s="99"/>
      <c r="J36" s="99"/>
      <c r="K36" s="99"/>
    </row>
    <row r="37" spans="2:11" ht="12.75">
      <c r="B37" s="497">
        <v>500000</v>
      </c>
      <c r="C37" s="106">
        <f>IF($F$1="X",F37,IF($G$1="X",G37,IF($H$1="X",H37,IF($I$1="X",I37,IF($J$1="X",J37,"")))))</f>
        <v>30671</v>
      </c>
      <c r="D37" s="106">
        <f>IF($F$1="X",G37,IF($G$1="X",H37,IF($H$1="X",I37,IF($I$1="X",J37,IF($J$1="X",K37,"")))))</f>
        <v>36488</v>
      </c>
      <c r="F37" s="497">
        <v>30671</v>
      </c>
      <c r="G37" s="497">
        <v>36488</v>
      </c>
      <c r="H37" s="497">
        <v>44243</v>
      </c>
      <c r="I37" s="497">
        <v>55876</v>
      </c>
      <c r="J37" s="497">
        <v>63631</v>
      </c>
      <c r="K37" s="497">
        <v>69447</v>
      </c>
    </row>
    <row r="38" spans="2:11" ht="12.75">
      <c r="B38" s="99"/>
      <c r="F38" s="99"/>
      <c r="G38" s="99"/>
      <c r="H38" s="99"/>
      <c r="I38" s="99"/>
      <c r="J38" s="99"/>
      <c r="K38" s="99"/>
    </row>
    <row r="39" spans="2:11" ht="12.75">
      <c r="B39" s="497">
        <v>1000000</v>
      </c>
      <c r="C39" s="106">
        <f>IF($F$1="X",F39,IF($G$1="X",G39,IF($H$1="X",H39,IF($I$1="X",I39,IF($J$1="X",J39,"")))))</f>
        <v>55293</v>
      </c>
      <c r="D39" s="106">
        <f>IF($F$1="X",G39,IF($G$1="X",H39,IF($H$1="X",I39,IF($I$1="X",J39,IF($J$1="X",K39,"")))))</f>
        <v>65535</v>
      </c>
      <c r="F39" s="497">
        <v>55293</v>
      </c>
      <c r="G39" s="497">
        <v>65535</v>
      </c>
      <c r="H39" s="497">
        <v>79193</v>
      </c>
      <c r="I39" s="497">
        <v>99682</v>
      </c>
      <c r="J39" s="497">
        <v>113340</v>
      </c>
      <c r="K39" s="497">
        <v>123582</v>
      </c>
    </row>
    <row r="40" spans="2:11" ht="12.75">
      <c r="B40" s="99"/>
      <c r="F40" s="99"/>
      <c r="G40" s="99"/>
      <c r="H40" s="99"/>
      <c r="I40" s="99"/>
      <c r="J40" s="99"/>
      <c r="K40" s="99"/>
    </row>
    <row r="41" spans="2:11" ht="12.75">
      <c r="B41" s="497">
        <v>1500000</v>
      </c>
      <c r="C41" s="106">
        <f>IF($F$1="X",F41,IF($G$1="X",G41,IF($H$1="X",H41,IF($I$1="X",I41,IF($J$1="X",J41,"")))))</f>
        <v>80167</v>
      </c>
      <c r="D41" s="106">
        <f>IF($F$1="X",G41,IF($G$1="X",H41,IF($H$1="X",I41,IF($I$1="X",J41,IF($J$1="X",K41,"")))))</f>
        <v>94804</v>
      </c>
      <c r="F41" s="497">
        <v>80167</v>
      </c>
      <c r="G41" s="497">
        <v>94804</v>
      </c>
      <c r="H41" s="497">
        <v>114317</v>
      </c>
      <c r="I41" s="497">
        <v>143592</v>
      </c>
      <c r="J41" s="497">
        <v>163105</v>
      </c>
      <c r="K41" s="497">
        <v>177742</v>
      </c>
    </row>
    <row r="42" spans="2:11" ht="12.75">
      <c r="B42" s="99"/>
      <c r="F42" s="99"/>
      <c r="G42" s="99"/>
      <c r="H42" s="99"/>
      <c r="I42" s="99"/>
      <c r="J42" s="99"/>
      <c r="K42" s="99"/>
    </row>
    <row r="43" spans="2:11" ht="12.75">
      <c r="B43" s="497">
        <v>2000000</v>
      </c>
      <c r="C43" s="106">
        <f>IF($F$1="X",F43,IF($G$1="X",G43,IF($H$1="X",H43,IF($I$1="X",I43,IF($J$1="X",J43,"")))))</f>
        <v>105005</v>
      </c>
      <c r="D43" s="106">
        <f>IF($F$1="X",G43,IF($G$1="X",H43,IF($H$1="X",I43,IF($I$1="X",J43,IF($J$1="X",K43,"")))))</f>
        <v>124033</v>
      </c>
      <c r="F43" s="497">
        <v>105005</v>
      </c>
      <c r="G43" s="497">
        <v>124033</v>
      </c>
      <c r="H43" s="497">
        <v>149401</v>
      </c>
      <c r="I43" s="497">
        <v>187455</v>
      </c>
      <c r="J43" s="497">
        <v>212823</v>
      </c>
      <c r="K43" s="497">
        <v>231851</v>
      </c>
    </row>
    <row r="44" spans="2:11" ht="12.75">
      <c r="B44" s="99"/>
      <c r="F44" s="99"/>
      <c r="G44" s="99"/>
      <c r="H44" s="99"/>
      <c r="I44" s="99"/>
      <c r="J44" s="99"/>
      <c r="K44" s="99"/>
    </row>
    <row r="45" spans="2:11" ht="12.75">
      <c r="B45" s="497">
        <v>2500000</v>
      </c>
      <c r="C45" s="106">
        <f>IF($F$1="X",F45,IF($G$1="X",G45,IF($H$1="X",H45,IF($I$1="X",I45,IF($J$1="X",J45,"")))))</f>
        <v>129845</v>
      </c>
      <c r="D45" s="106">
        <f>IF($F$1="X",G45,IF($G$1="X",H45,IF($H$1="X",I45,IF($I$1="X",J45,IF($J$1="X",K45,"")))))</f>
        <v>153271</v>
      </c>
      <c r="F45" s="497">
        <v>129845</v>
      </c>
      <c r="G45" s="497">
        <v>153271</v>
      </c>
      <c r="H45" s="497">
        <v>184203</v>
      </c>
      <c r="I45" s="497">
        <v>231352</v>
      </c>
      <c r="J45" s="497">
        <v>262584</v>
      </c>
      <c r="K45" s="497">
        <v>286006</v>
      </c>
    </row>
    <row r="46" spans="2:11" ht="12.75">
      <c r="B46" s="99"/>
      <c r="F46" s="99"/>
      <c r="G46" s="99"/>
      <c r="H46" s="99"/>
      <c r="I46" s="99"/>
      <c r="J46" s="99"/>
      <c r="K46" s="99"/>
    </row>
    <row r="47" spans="2:11" ht="12.75">
      <c r="B47" s="497">
        <v>3000000</v>
      </c>
      <c r="C47" s="106">
        <f>IF($F$1="X",F47,IF($G$1="X",G47,IF($H$1="X",H47,IF($I$1="X",I47,IF($J$1="X",J47,"")))))</f>
        <v>155660</v>
      </c>
      <c r="D47" s="106">
        <f>IF($F$1="X",G47,IF($G$1="X",H47,IF($H$1="X",I47,IF($I$1="X",J47,IF($J$1="X",K47,"")))))</f>
        <v>182183</v>
      </c>
      <c r="F47" s="497">
        <v>155660</v>
      </c>
      <c r="G47" s="497">
        <v>182183</v>
      </c>
      <c r="H47" s="497">
        <v>217541</v>
      </c>
      <c r="I47" s="497">
        <v>270581</v>
      </c>
      <c r="J47" s="497">
        <v>305940</v>
      </c>
      <c r="K47" s="497">
        <v>332462</v>
      </c>
    </row>
    <row r="48" spans="2:11" ht="12.75">
      <c r="B48" s="99"/>
      <c r="F48" s="99"/>
      <c r="G48" s="99"/>
      <c r="H48" s="99"/>
      <c r="I48" s="99"/>
      <c r="J48" s="99"/>
      <c r="K48" s="99"/>
    </row>
    <row r="49" spans="2:11" ht="12.75">
      <c r="B49" s="497">
        <v>3500000</v>
      </c>
      <c r="C49" s="106">
        <f>IF($F$1="X",F49,IF($G$1="X",G49,IF($H$1="X",H49,IF($I$1="X",I49,IF($J$1="X",J49,"")))))</f>
        <v>181605</v>
      </c>
      <c r="D49" s="106">
        <f>IF($F$1="X",G49,IF($G$1="X",H49,IF($H$1="X",I49,IF($I$1="X",J49,IF($J$1="X",K49,"")))))</f>
        <v>211053</v>
      </c>
      <c r="F49" s="497">
        <v>181605</v>
      </c>
      <c r="G49" s="497">
        <v>211053</v>
      </c>
      <c r="H49" s="497">
        <v>250321</v>
      </c>
      <c r="I49" s="497">
        <v>309221</v>
      </c>
      <c r="J49" s="497">
        <v>348488</v>
      </c>
      <c r="K49" s="497">
        <v>377937</v>
      </c>
    </row>
    <row r="50" spans="2:11" ht="12.75">
      <c r="B50" s="99"/>
      <c r="F50" s="99"/>
      <c r="G50" s="99"/>
      <c r="H50" s="99"/>
      <c r="I50" s="99"/>
      <c r="J50" s="99"/>
      <c r="K50" s="99"/>
    </row>
    <row r="51" spans="2:11" ht="12.75">
      <c r="B51" s="497">
        <v>4000000</v>
      </c>
      <c r="C51" s="106">
        <f>IF($F$1="X",F51,IF($G$1="X",G51,IF($H$1="X",H51,IF($I$1="X",I51,IF($J$1="X",J51,"")))))</f>
        <v>207550</v>
      </c>
      <c r="D51" s="106">
        <f>IF($F$1="X",G51,IF($G$1="X",H51,IF($H$1="X",I51,IF($I$1="X",J51,IF($J$1="X",K51,"")))))</f>
        <v>239927</v>
      </c>
      <c r="F51" s="497">
        <v>207550</v>
      </c>
      <c r="G51" s="497">
        <v>239927</v>
      </c>
      <c r="H51" s="497">
        <v>283101</v>
      </c>
      <c r="I51" s="497">
        <v>347856</v>
      </c>
      <c r="J51" s="497">
        <v>391030</v>
      </c>
      <c r="K51" s="497">
        <v>423407</v>
      </c>
    </row>
    <row r="52" spans="2:11" ht="12.75">
      <c r="B52" s="99"/>
      <c r="F52" s="99"/>
      <c r="G52" s="99"/>
      <c r="H52" s="99"/>
      <c r="I52" s="99"/>
      <c r="J52" s="99"/>
      <c r="K52" s="99"/>
    </row>
    <row r="53" spans="2:11" ht="12.75">
      <c r="B53" s="497">
        <v>4500000</v>
      </c>
      <c r="C53" s="106">
        <f>IF($F$1="X",F53,IF($G$1="X",G53,IF($H$1="X",H53,IF($I$1="X",I53,IF($J$1="X",J53,"")))))</f>
        <v>233491</v>
      </c>
      <c r="D53" s="106">
        <f>IF($F$1="X",G53,IF($G$1="X",H53,IF($H$1="X",I53,IF($I$1="X",J53,IF($J$1="X",K53,"")))))</f>
        <v>268798</v>
      </c>
      <c r="F53" s="497">
        <v>233491</v>
      </c>
      <c r="G53" s="497">
        <v>268798</v>
      </c>
      <c r="H53" s="497">
        <v>315877</v>
      </c>
      <c r="I53" s="497">
        <v>386495</v>
      </c>
      <c r="J53" s="497">
        <v>433574</v>
      </c>
      <c r="K53" s="497">
        <v>468881</v>
      </c>
    </row>
    <row r="54" spans="2:11" ht="12.75">
      <c r="B54" s="99"/>
      <c r="F54" s="99"/>
      <c r="G54" s="99"/>
      <c r="H54" s="99"/>
      <c r="I54" s="99"/>
      <c r="J54" s="99"/>
      <c r="K54" s="99"/>
    </row>
    <row r="55" spans="2:11" ht="12.75">
      <c r="B55" s="497">
        <v>5000000</v>
      </c>
      <c r="C55" s="106">
        <f>IF($F$1="X",F55,IF($G$1="X",G55,IF($H$1="X",H55,IF($I$1="X",I55,IF($J$1="X",J55,"")))))</f>
        <v>259435</v>
      </c>
      <c r="D55" s="106">
        <f>IF($F$1="X",G55,IF($G$1="X",H55,IF($H$1="X",I55,IF($I$1="X",J55,IF($J$1="X",K55,"")))))</f>
        <v>297672</v>
      </c>
      <c r="F55" s="497">
        <v>259435</v>
      </c>
      <c r="G55" s="497">
        <v>297672</v>
      </c>
      <c r="H55" s="497">
        <v>348656</v>
      </c>
      <c r="I55" s="497">
        <v>425135</v>
      </c>
      <c r="J55" s="497">
        <v>476119</v>
      </c>
      <c r="K55" s="497">
        <v>514356</v>
      </c>
    </row>
    <row r="56" spans="2:11" ht="12.75">
      <c r="B56" s="99"/>
      <c r="F56" s="99"/>
      <c r="G56" s="99"/>
      <c r="H56" s="99"/>
      <c r="I56" s="99"/>
      <c r="J56" s="99"/>
      <c r="K56" s="99"/>
    </row>
    <row r="57" spans="2:11" ht="12.75">
      <c r="B57" s="497">
        <v>10000000</v>
      </c>
      <c r="C57" s="106">
        <f>IF($F$1="X",F57,IF($G$1="X",G57,IF($H$1="X",H57,IF($I$1="X",I57,IF($J$1="X",J57,"")))))</f>
        <v>518870</v>
      </c>
      <c r="D57" s="106">
        <f>IF($F$1="X",G57,IF($G$1="X",H57,IF($H$1="X",I57,IF($I$1="X",J57,IF($J$1="X",K57,"")))))</f>
        <v>589823</v>
      </c>
      <c r="F57" s="497">
        <v>518870</v>
      </c>
      <c r="G57" s="497">
        <v>589823</v>
      </c>
      <c r="H57" s="497">
        <v>684426</v>
      </c>
      <c r="I57" s="497">
        <v>826334</v>
      </c>
      <c r="J57" s="497">
        <v>920937</v>
      </c>
      <c r="K57" s="497">
        <v>991890</v>
      </c>
    </row>
    <row r="58" spans="2:11" ht="12.75">
      <c r="B58" s="99"/>
      <c r="F58" s="99"/>
      <c r="G58" s="99"/>
      <c r="H58" s="99"/>
      <c r="I58" s="99"/>
      <c r="J58" s="99"/>
      <c r="K58" s="99"/>
    </row>
    <row r="59" spans="2:11" ht="12.75">
      <c r="B59" s="497">
        <v>15000000</v>
      </c>
      <c r="C59" s="106">
        <f>IF($F$1="X",F59,IF($G$1="X",G59,IF($H$1="X",H59,IF($I$1="X",I59,IF($J$1="X",J59,"")))))</f>
        <v>778305</v>
      </c>
      <c r="D59" s="106">
        <f>IF($F$1="X",G59,IF($G$1="X",H59,IF($H$1="X",I59,IF($I$1="X",J59,IF($J$1="X",K59,"")))))</f>
        <v>877041</v>
      </c>
      <c r="F59" s="497">
        <v>778305</v>
      </c>
      <c r="G59" s="497">
        <v>877041</v>
      </c>
      <c r="H59" s="497">
        <v>1008690</v>
      </c>
      <c r="I59" s="497">
        <v>1206165</v>
      </c>
      <c r="J59" s="497">
        <v>1337814</v>
      </c>
      <c r="K59" s="497">
        <v>1436550</v>
      </c>
    </row>
    <row r="60" spans="2:11" ht="12.75">
      <c r="B60" s="99"/>
      <c r="F60" s="99"/>
      <c r="G60" s="99"/>
      <c r="H60" s="99"/>
      <c r="I60" s="99"/>
      <c r="J60" s="99"/>
      <c r="K60" s="99"/>
    </row>
    <row r="61" spans="2:11" ht="12.75">
      <c r="B61" s="497">
        <v>20000000</v>
      </c>
      <c r="C61" s="106">
        <f>IF($F$1="X",F61,IF($G$1="X",G61,IF($H$1="X",H61,IF($I$1="X",I61,IF($J$1="X",J61,"")))))</f>
        <v>1037740</v>
      </c>
      <c r="D61" s="106">
        <f>IF($F$1="X",G61,IF($G$1="X",H61,IF($H$1="X",I61,IF($I$1="X",J61,IF($J$1="X",K61,"")))))</f>
        <v>1159131</v>
      </c>
      <c r="F61" s="497">
        <v>1037740</v>
      </c>
      <c r="G61" s="497">
        <v>1159131</v>
      </c>
      <c r="H61" s="497">
        <v>1320989</v>
      </c>
      <c r="I61" s="497">
        <v>1563771</v>
      </c>
      <c r="J61" s="497">
        <v>1725629</v>
      </c>
      <c r="K61" s="497">
        <v>1847020</v>
      </c>
    </row>
    <row r="62" spans="2:11" ht="12.75">
      <c r="B62" s="99"/>
      <c r="F62" s="99"/>
      <c r="G62" s="99"/>
      <c r="H62" s="99"/>
      <c r="I62" s="99"/>
      <c r="J62" s="99"/>
      <c r="K62" s="99"/>
    </row>
    <row r="63" spans="2:11" ht="12.75">
      <c r="B63" s="497">
        <v>25000000</v>
      </c>
      <c r="C63" s="106">
        <f>IF($F$1="X",F63,IF($G$1="X",G63,IF($H$1="X",H63,IF($I$1="X",I63,IF($J$1="X",J63,"")))))</f>
        <v>1297175</v>
      </c>
      <c r="D63" s="106">
        <f>IF($F$1="X",G63,IF($G$1="X",H63,IF($H$1="X",I63,IF($I$1="X",J63,IF($J$1="X",K63,"")))))</f>
        <v>1442062</v>
      </c>
      <c r="F63" s="497">
        <v>1297175</v>
      </c>
      <c r="G63" s="497">
        <v>1442062</v>
      </c>
      <c r="H63" s="497">
        <v>1635242</v>
      </c>
      <c r="I63" s="497">
        <v>1925012</v>
      </c>
      <c r="J63" s="497">
        <v>2118192</v>
      </c>
      <c r="K63" s="497">
        <v>2263075</v>
      </c>
    </row>
    <row r="64" spans="2:11" ht="12.75">
      <c r="B64" s="99"/>
      <c r="F64" s="99"/>
      <c r="G64" s="99"/>
      <c r="H64" s="99"/>
      <c r="I64" s="99"/>
      <c r="J64" s="99"/>
      <c r="K64" s="99"/>
    </row>
    <row r="65" spans="2:11" ht="12.75">
      <c r="B65" s="497">
        <v>25564594</v>
      </c>
      <c r="C65" s="106">
        <f>IF($F$1="X",F65,IF($G$1="X",G65,IF($H$1="X",H65,IF($I$1="X",I65,IF($J$1="X",J65,"")))))</f>
        <v>1326470</v>
      </c>
      <c r="D65" s="106">
        <f>IF($F$1="X",G65,IF($G$1="X",H65,IF($H$1="X",I65,IF($I$1="X",J65,IF($J$1="X",K65,"")))))</f>
        <v>1474024</v>
      </c>
      <c r="F65" s="497">
        <v>1326470</v>
      </c>
      <c r="G65" s="497">
        <v>1474024</v>
      </c>
      <c r="H65" s="497">
        <v>1670759</v>
      </c>
      <c r="I65" s="497">
        <v>1965861</v>
      </c>
      <c r="J65" s="497">
        <v>2162596</v>
      </c>
      <c r="K65" s="497">
        <v>2310145</v>
      </c>
    </row>
  </sheetData>
  <sheetProtection password="CBC6" sheet="1" objects="1" scenarios="1"/>
  <mergeCells count="5">
    <mergeCell ref="P8:P12"/>
    <mergeCell ref="T8:T12"/>
    <mergeCell ref="Q8:Q12"/>
    <mergeCell ref="R8:R12"/>
    <mergeCell ref="S8:S1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8"/>
  <sheetViews>
    <sheetView showZeros="0" workbookViewId="0" topLeftCell="A1">
      <selection activeCell="G10" sqref="G10"/>
    </sheetView>
  </sheetViews>
  <sheetFormatPr defaultColWidth="11.421875" defaultRowHeight="12.75"/>
  <cols>
    <col min="1" max="1" width="4.00390625" style="6" customWidth="1"/>
    <col min="2" max="3" width="4.28125" style="6" customWidth="1"/>
    <col min="4" max="4" width="19.140625" style="6" customWidth="1"/>
    <col min="5" max="5" width="13.28125" style="6" customWidth="1"/>
    <col min="6" max="6" width="4.8515625" style="6" customWidth="1"/>
    <col min="7" max="7" width="4.7109375" style="157" customWidth="1"/>
    <col min="8" max="8" width="1.421875" style="6" customWidth="1"/>
    <col min="9" max="9" width="7.00390625" style="6" customWidth="1"/>
    <col min="10" max="10" width="2.28125" style="6" customWidth="1"/>
    <col min="11" max="11" width="4.57421875" style="6" customWidth="1"/>
    <col min="12" max="12" width="5.00390625" style="6" customWidth="1"/>
    <col min="13" max="13" width="4.8515625" style="6" customWidth="1"/>
    <col min="14" max="14" width="12.421875" style="6" customWidth="1"/>
    <col min="15" max="15" width="3.7109375" style="6" customWidth="1"/>
    <col min="16" max="16" width="9.57421875" style="101" customWidth="1"/>
    <col min="17" max="17" width="14.8515625" style="101" customWidth="1"/>
    <col min="18" max="18" width="11.8515625" style="101" customWidth="1"/>
    <col min="19" max="81" width="11.421875" style="101" customWidth="1"/>
    <col min="82" max="16384" width="11.421875" style="6" customWidth="1"/>
  </cols>
  <sheetData>
    <row r="1" spans="1:15" ht="12.75">
      <c r="A1" s="51" t="str">
        <f>IF(STAMMDATEN!C7="","",STAMMDATEN!C7)</f>
        <v>Herr</v>
      </c>
      <c r="J1" s="52"/>
      <c r="L1" s="4"/>
      <c r="O1" s="53"/>
    </row>
    <row r="2" spans="1:15" ht="12.75">
      <c r="A2" s="51" t="str">
        <f>IF(STAMMDATEN!C8="","",STAMMDATEN!C8)</f>
        <v>Justus Müller</v>
      </c>
      <c r="C2" s="51"/>
      <c r="D2" s="51"/>
      <c r="E2" s="51"/>
      <c r="F2" s="51"/>
      <c r="K2" s="54"/>
      <c r="L2" s="54"/>
      <c r="M2" s="54"/>
      <c r="N2" s="336" t="s">
        <v>104</v>
      </c>
      <c r="O2" s="336"/>
    </row>
    <row r="3" spans="1:15" ht="12.75">
      <c r="A3" s="51" t="str">
        <f>IF(STAMMDATEN!C9="","",STAMMDATEN!C9)</f>
        <v>Wendeplatte 19</v>
      </c>
      <c r="C3" s="51"/>
      <c r="D3" s="51"/>
      <c r="E3" s="51"/>
      <c r="F3" s="51"/>
      <c r="K3" s="56" t="s">
        <v>63</v>
      </c>
      <c r="L3" s="57"/>
      <c r="M3" s="57"/>
      <c r="N3" s="58" t="str">
        <f>STAMMDATEN!C5</f>
        <v>00-2599</v>
      </c>
      <c r="O3" s="525">
        <f>IF(SUM(STAMMDATEN!O18:W18)=0,"",IF(A38=30,"/S",IF(A38=35,"/S",IF(A38=55,"/S",IF(A38=60,"/S",IF(A38=65,"/S2",IF(A38=90,"/S2",-A15)))))))</f>
        <v>-2</v>
      </c>
    </row>
    <row r="4" spans="2:15" ht="12.75">
      <c r="B4" s="51"/>
      <c r="C4" s="51"/>
      <c r="D4" s="51"/>
      <c r="E4" s="51"/>
      <c r="F4" s="51"/>
      <c r="K4" s="56" t="s">
        <v>146</v>
      </c>
      <c r="L4" s="57"/>
      <c r="M4" s="57"/>
      <c r="N4" s="59">
        <f>IF(STAMMDATEN!N55="","",STAMMDATEN!N55)</f>
        <v>35921</v>
      </c>
      <c r="O4" s="60" t="str">
        <f>IF(STAMMDATEN!F11="","",STAMMDATEN!F11)</f>
        <v>til</v>
      </c>
    </row>
    <row r="5" spans="1:6" ht="12.75">
      <c r="A5" s="51" t="str">
        <f>IF(STAMMDATEN!C10="","",STAMMDATEN!C10)</f>
        <v>70711 Stuttgart</v>
      </c>
      <c r="C5" s="51"/>
      <c r="D5" s="51"/>
      <c r="E5" s="51"/>
      <c r="F5" s="51"/>
    </row>
    <row r="6" spans="1:12" ht="63.75" customHeight="1">
      <c r="A6" s="51" t="s">
        <v>19</v>
      </c>
      <c r="C6" s="51"/>
      <c r="D6" s="51"/>
      <c r="E6" s="61" t="str">
        <f>IF(STAMMDATEN!A28="X",STAMMDATEN!D28,IF(STAMMDATEN!A29="X",STAMMDATEN!D29,IF(STAMMDATEN!A30="X",STAMMDATEN!D30,"")))</f>
        <v>nach HOAI § 16</v>
      </c>
      <c r="F6" s="61" t="s">
        <v>61</v>
      </c>
      <c r="G6" s="158" t="str">
        <f>IF(STAMMDATEN!A28="X",STAMMDATEN!B28,IF(STAMMDATEN!A29="X",STAMMDATEN!B29,IF(STAMMDATEN!A30="X",STAMMDATEN!B30,"")))</f>
        <v>Gebäude</v>
      </c>
      <c r="L6" s="62"/>
    </row>
    <row r="7" ht="18.75" customHeight="1">
      <c r="A7" s="63" t="str">
        <f ca="1">CELL("dateiname")</f>
        <v>D:\HOAI\aktuell16\[DEM§16_6.xls]BITTE LESEN !</v>
      </c>
    </row>
    <row r="8" spans="1:14" ht="12.75">
      <c r="A8" s="62" t="s">
        <v>23</v>
      </c>
      <c r="C8" s="6" t="str">
        <f>STAMMDATEN!C3</f>
        <v>Einfamilienwohnhaus</v>
      </c>
      <c r="F8" s="220">
        <f>IF(SUM(STAMMDATEN!$I$33,STAMMDATEN!I$39)=0,"","Anzahl:")</f>
      </c>
      <c r="G8" s="222">
        <f>IF(SUM(STAMMDATEN!$I$33,STAMMDATEN!I$39)=0,"",STAMMDATEN!I40)</f>
      </c>
      <c r="I8" s="37" t="s">
        <v>72</v>
      </c>
      <c r="J8" s="61"/>
      <c r="K8" s="61"/>
      <c r="L8" s="61"/>
      <c r="N8" s="61" t="str">
        <f>IF(STAMMDATEN!A15="X",STAMMDATEN!B15,IF(STAMMDATEN!A16="X",STAMMDATEN!B16,IF(STAMMDATEN!A17="X",STAMMDATEN!B17,IF(STAMMDATEN!A18="X",STAMMDATEN!B18,IF(STAMMDATEN!A19="X",STAMMDATEN!B19,"")))))</f>
        <v>I §§ 11,12 HOAI</v>
      </c>
    </row>
    <row r="9" spans="1:14" ht="12.75" customHeight="1">
      <c r="A9" s="62" t="s">
        <v>42</v>
      </c>
      <c r="B9" s="62"/>
      <c r="C9" s="6" t="str">
        <f>STAMMDATEN!C4</f>
        <v>Reutlingen / Steinenbergstrasse 35</v>
      </c>
      <c r="I9" s="37" t="s">
        <v>70</v>
      </c>
      <c r="J9" s="61"/>
      <c r="K9" s="61"/>
      <c r="L9" s="61"/>
      <c r="N9" s="523" t="str">
        <f>IF(STAMMDATEN!C15="X",STAMMDATEN!D15,IF(STAMMDATEN!C16="X",STAMMDATEN!D16,IF(STAMMDATEN!C17="X",STAMMDATEN!D17,IF(STAMMDATEN!C18="X",STAMMDATEN!D18,IF(STAMMDATEN!C19="X",STAMMDATEN!D19,"")))))</f>
        <v>Vonsatz</v>
      </c>
    </row>
    <row r="10" spans="1:14" ht="12.75" customHeight="1">
      <c r="A10" s="62"/>
      <c r="B10" s="62"/>
      <c r="I10" s="62"/>
      <c r="L10" s="61"/>
      <c r="N10" s="61"/>
    </row>
    <row r="11" spans="2:14" ht="12.75" customHeight="1">
      <c r="B11" s="62"/>
      <c r="F11" s="61" t="s">
        <v>319</v>
      </c>
      <c r="G11" s="222">
        <f>IF(SUM(STAMMDATEN!$I$33,STAMMDATEN!I$39)=0,"","/ § 22")</f>
      </c>
      <c r="I11" s="62" t="s">
        <v>137</v>
      </c>
      <c r="L11" s="61"/>
      <c r="N11" s="61"/>
    </row>
    <row r="12" spans="1:15" ht="12.75">
      <c r="A12" s="528"/>
      <c r="B12" s="222" t="str">
        <f>'Anlage zur Schlussr.'!A11</f>
        <v>A </v>
      </c>
      <c r="C12" s="220" t="s">
        <v>162</v>
      </c>
      <c r="D12" s="528" t="str">
        <f>'Anlage zur Schlussr.'!B11</f>
        <v>Kostenschätzung</v>
      </c>
      <c r="E12" s="64">
        <f>'Anlage zur Schlussr.'!B13</f>
      </c>
      <c r="F12" s="96">
        <f>IF(E12=0,"",IF(E12="","",IF(STAMMDATEN!$A$21="X",STAMMDATEN!$C$21,IF(STAMMDATEN!$A$22="X",STAMMDATEN!$C$22,""))))</f>
      </c>
      <c r="I12" s="62" t="s">
        <v>216</v>
      </c>
      <c r="N12" s="64">
        <f>'Anlage zur Schlussr.'!C19</f>
      </c>
      <c r="O12" s="96">
        <f>IF(N12=0,"",IF(N12="","",IF(STAMMDATEN!$A$21="X",STAMMDATEN!$C$21,IF(STAMMDATEN!$A$22="X",STAMMDATEN!$C$22,""))))</f>
      </c>
    </row>
    <row r="13" spans="1:15" ht="12.75">
      <c r="A13" s="528"/>
      <c r="B13" s="222" t="str">
        <f>'Anlage zur Schlussr.'!A23</f>
        <v>B</v>
      </c>
      <c r="C13" s="220" t="s">
        <v>162</v>
      </c>
      <c r="D13" s="528" t="str">
        <f>'Anlage zur Schlussr.'!B23</f>
        <v>Kostenberechnung</v>
      </c>
      <c r="E13" s="64">
        <f>'Anlage zur Schlussr.'!B25</f>
      </c>
      <c r="F13" s="96">
        <f>IF(E13=0,"",IF(E13="","",IF(STAMMDATEN!$A$21="X",STAMMDATEN!$C$21,IF(STAMMDATEN!$A$22="X",STAMMDATEN!$C$22,""))))</f>
      </c>
      <c r="I13" s="37">
        <f>IF(SUM(E12:E14)=0,"",IF(A31=9,"für Leistungsphasen 1 - 9","für Leistungsphasen 1 - 8"))</f>
      </c>
      <c r="N13" s="64">
        <f>'Anlage zur Schlussr.'!C31</f>
      </c>
      <c r="O13" s="96">
        <f>IF(N13=0,"",IF(N13="","",IF(STAMMDATEN!$A$21="X",STAMMDATEN!$C$21,IF(STAMMDATEN!$A$22="X",STAMMDATEN!$C$22,""))))</f>
      </c>
    </row>
    <row r="14" spans="1:15" ht="12.75">
      <c r="A14" s="528"/>
      <c r="B14" s="222" t="str">
        <f>'Anlage zur Schlussr.'!A34</f>
        <v>C</v>
      </c>
      <c r="C14" s="220" t="s">
        <v>162</v>
      </c>
      <c r="D14" s="528" t="str">
        <f>'Anlage zur Schlussr.'!B34</f>
        <v>Kostenanschlag</v>
      </c>
      <c r="E14" s="64">
        <f>'Anlage zur Schlussr.'!B36</f>
      </c>
      <c r="F14" s="96">
        <f>IF(E14=0,"",IF(E14="","",IF(STAMMDATEN!$A$21="X",STAMMDATEN!$C$21,IF(STAMMDATEN!$A$22="X",STAMMDATEN!$C$22,""))))</f>
      </c>
      <c r="I14" s="37"/>
      <c r="N14" s="64">
        <f>'Anlage zur Schlussr.'!C42</f>
      </c>
      <c r="O14" s="96">
        <f>IF(N14=0,"",IF(N14="","",IF(STAMMDATEN!$A$21="X",STAMMDATEN!$C$21,IF(STAMMDATEN!$A$22="X",STAMMDATEN!$C$22,""))))</f>
      </c>
    </row>
    <row r="15" spans="1:15" ht="24" customHeight="1">
      <c r="A15" s="66">
        <f>IF(A38=0,"",IF(A38&gt;=26,"",STAMMDATEN!L40))</f>
        <v>2</v>
      </c>
      <c r="B15" s="51" t="str">
        <f>IF(O3="","",IF(A38=25,"ABSCHLAGSZAHLUNG für Architektenleistungen",IF(A38&gt;=65,"SCHLUSSRECHNUNG incl. Leistungs-Ph. 9","SCHLUSSRECHNUNG für Architektenleistungen")))</f>
        <v>ABSCHLAGSZAHLUNG für Architektenleistungen</v>
      </c>
      <c r="F15" s="67"/>
      <c r="G15" s="159"/>
      <c r="H15" s="68"/>
      <c r="I15" s="4" t="str">
        <f>IF(G31="","",IF(I31=0,"ohne Leistungsphase 9",""))</f>
        <v>ohne Leistungsphase 9</v>
      </c>
      <c r="J15" s="4"/>
      <c r="K15" s="4"/>
      <c r="L15" s="4"/>
      <c r="M15" s="4"/>
      <c r="N15" s="4"/>
      <c r="O15" s="65"/>
    </row>
    <row r="16" spans="1:15" ht="18" customHeight="1">
      <c r="A16" s="37" t="s">
        <v>78</v>
      </c>
      <c r="B16" s="4"/>
      <c r="C16" s="4"/>
      <c r="D16" s="61"/>
      <c r="E16" s="69">
        <f>STAMMDATEN!E13</f>
        <v>36718</v>
      </c>
      <c r="F16" s="4"/>
      <c r="G16" s="630" t="s">
        <v>169</v>
      </c>
      <c r="H16" s="68"/>
      <c r="I16" s="8" t="s">
        <v>99</v>
      </c>
      <c r="K16" s="12"/>
      <c r="O16" s="65"/>
    </row>
    <row r="17" spans="7:15" ht="12.75" customHeight="1">
      <c r="G17" s="630"/>
      <c r="H17" s="68"/>
      <c r="I17" s="629" t="s">
        <v>79</v>
      </c>
      <c r="J17" s="62" t="s">
        <v>211</v>
      </c>
      <c r="O17" s="70"/>
    </row>
    <row r="18" spans="2:15" ht="12.75" customHeight="1">
      <c r="B18" s="71"/>
      <c r="C18" s="71"/>
      <c r="D18" s="71"/>
      <c r="E18" s="72"/>
      <c r="G18" s="630"/>
      <c r="H18" s="68"/>
      <c r="I18" s="629"/>
      <c r="J18" s="73" t="str">
        <f>IF($K$18="KEINE","( * )","")</f>
        <v>( * )</v>
      </c>
      <c r="K18" s="74" t="str">
        <f>IF(STAMMDATEN!F21="","keine",STAMMDATEN!F21)</f>
        <v>keine</v>
      </c>
      <c r="L18" s="37" t="s">
        <v>88</v>
      </c>
      <c r="M18" s="75"/>
      <c r="N18" s="75"/>
      <c r="O18" s="76"/>
    </row>
    <row r="19" spans="1:15" ht="12.75" customHeight="1">
      <c r="A19" s="6" t="s">
        <v>131</v>
      </c>
      <c r="B19" s="71"/>
      <c r="C19" s="71"/>
      <c r="D19" s="71"/>
      <c r="E19" s="72"/>
      <c r="F19" s="72"/>
      <c r="G19" s="630"/>
      <c r="I19" s="629"/>
      <c r="J19" s="77"/>
      <c r="K19" s="78" t="str">
        <f>IF(STAMMDATEN!F29="","keine weiteren Zuschläge",STAMMDATEN!G29)</f>
        <v>Umbauzuschlag (ZU) gem. § 24 HOAI</v>
      </c>
      <c r="M19" s="78"/>
      <c r="N19" s="78"/>
      <c r="O19" s="70"/>
    </row>
    <row r="20" spans="2:15" ht="12.75" customHeight="1">
      <c r="B20" s="79" t="s">
        <v>80</v>
      </c>
      <c r="C20" s="4" t="str">
        <f>D12</f>
        <v>Kostenschätzung</v>
      </c>
      <c r="E20" s="64">
        <f>IF(SUM(G21:G24)=0,"",'Anlage zur Schlussr.'!H18)</f>
      </c>
      <c r="F20" s="72" t="s">
        <v>57</v>
      </c>
      <c r="G20" s="630"/>
      <c r="I20" s="629"/>
      <c r="J20" s="77"/>
      <c r="K20" s="80" t="str">
        <f>IF(K19="","",IF(STAMMDATEN!F29="","","&lt;&lt;"))</f>
        <v>&lt;&lt;</v>
      </c>
      <c r="O20" s="81"/>
    </row>
    <row r="21" spans="1:15" ht="12.75">
      <c r="A21" s="53">
        <v>1</v>
      </c>
      <c r="B21" s="6" t="s">
        <v>24</v>
      </c>
      <c r="F21" s="82">
        <f>IF(G21="","",STAMMDATEN!O16)</f>
        <v>0.03</v>
      </c>
      <c r="G21" s="82">
        <f>IF(STAMMDATEN!O18="","",STAMMDATEN!O18)</f>
        <v>1</v>
      </c>
      <c r="H21" s="83"/>
      <c r="I21" s="82">
        <f>IF(G21="","",STAMMDATEN!$O$55)</f>
        <v>0.3</v>
      </c>
      <c r="J21" s="83"/>
      <c r="K21" s="82">
        <f>IF(I21=0,"",IF(G21="","",STAMMDATEN!$F$29))</f>
        <v>0.2</v>
      </c>
      <c r="O21" s="70"/>
    </row>
    <row r="22" spans="1:15" ht="12.75">
      <c r="A22" s="53">
        <v>2</v>
      </c>
      <c r="B22" s="6" t="s">
        <v>25</v>
      </c>
      <c r="E22" s="87">
        <f>IF(G22&gt;=101%,"incl. Mehrleistung nach HOAI $ 20","")</f>
      </c>
      <c r="F22" s="82">
        <f>IF(G22="","",STAMMDATEN!P16)</f>
        <v>0.07</v>
      </c>
      <c r="G22" s="82">
        <f>IF(STAMMDATEN!P18="","",STAMMDATEN!P18)</f>
        <v>1</v>
      </c>
      <c r="H22" s="83"/>
      <c r="I22" s="82">
        <f>IF(G22="","",STAMMDATEN!$P$55)</f>
        <v>0.3</v>
      </c>
      <c r="J22" s="83"/>
      <c r="K22" s="82">
        <f>IF(I22=0,"",IF(G22="","",STAMMDATEN!$F$29))</f>
        <v>0.2</v>
      </c>
      <c r="L22" s="631" t="s">
        <v>192</v>
      </c>
      <c r="M22" s="61" t="s">
        <v>87</v>
      </c>
      <c r="N22" s="64">
        <f>IF(SUM($G$21:$G$24)=0,"",'LPH 1-4'!M36)</f>
        <v>0</v>
      </c>
      <c r="O22" s="96">
        <f>IF(N22=0,"",IF(N22="","",IF(STAMMDATEN!$A$21="X",STAMMDATEN!$C$21,IF(STAMMDATEN!$A$22="X",STAMMDATEN!$C$22,""))))</f>
      </c>
    </row>
    <row r="23" spans="1:15" ht="12.75">
      <c r="A23" s="53">
        <v>3</v>
      </c>
      <c r="B23" s="6" t="s">
        <v>26</v>
      </c>
      <c r="E23" s="87">
        <f>IF(G23&gt;=101%,"incl. Mehrleist.nach HOAI $ 20","")</f>
      </c>
      <c r="F23" s="82">
        <f>IF(G23="","",STAMMDATEN!Q16)</f>
        <v>0.11</v>
      </c>
      <c r="G23" s="82">
        <f>IF(STAMMDATEN!Q18="","",STAMMDATEN!Q18)</f>
        <v>1</v>
      </c>
      <c r="H23" s="83"/>
      <c r="I23" s="82">
        <f>IF(G23="","",STAMMDATEN!$Q$55)</f>
        <v>0.3</v>
      </c>
      <c r="J23" s="83"/>
      <c r="K23" s="82">
        <f>IF(I23=0,"",IF(G23="","",STAMMDATEN!$F$29))</f>
        <v>0.2</v>
      </c>
      <c r="L23" s="631"/>
      <c r="M23" s="61" t="str">
        <f>IF(STAMMDATEN!$F$29="","","ZU")</f>
        <v>ZU</v>
      </c>
      <c r="N23" s="64">
        <f>IF(SUM($G$21:$G$24)=0,"",'LPH 1-4'!O36)</f>
        <v>0</v>
      </c>
      <c r="O23" s="96">
        <f>IF(N23=0,"",IF(N23="","",IF(STAMMDATEN!$A$21="X",STAMMDATEN!$C$21,IF(STAMMDATEN!$A$22="X",STAMMDATEN!$C$22,""))))</f>
      </c>
    </row>
    <row r="24" spans="1:15" ht="12.75">
      <c r="A24" s="53">
        <v>4</v>
      </c>
      <c r="B24" s="6" t="s">
        <v>49</v>
      </c>
      <c r="E24" s="84"/>
      <c r="F24" s="82">
        <f>IF(G24="","",STAMMDATEN!R16)</f>
        <v>0.06</v>
      </c>
      <c r="G24" s="82">
        <f>IF(STAMMDATEN!R18="","",STAMMDATEN!R18)</f>
        <v>1</v>
      </c>
      <c r="H24" s="83"/>
      <c r="I24" s="82">
        <f>IF(G24="","",STAMMDATEN!$R$55)</f>
        <v>0.3</v>
      </c>
      <c r="J24" s="83"/>
      <c r="K24" s="82">
        <f>IF(I24=0,"",IF(G24="","",STAMMDATEN!$F$29))</f>
        <v>0.2</v>
      </c>
      <c r="L24" s="631"/>
      <c r="M24" s="61">
        <f>IF(STAMMDATEN!$F$21="","","NK")</f>
      </c>
      <c r="N24" s="64">
        <f>IF(SUM($G$21:$G$24)=0,"",'LPH 1-4'!Q36)</f>
        <v>0</v>
      </c>
      <c r="O24" s="96">
        <f>IF(N24=0,"",IF(N24="","",IF(STAMMDATEN!$A$21="X",STAMMDATEN!$C$21,IF(STAMMDATEN!$A$22="X",STAMMDATEN!$C$22,""))))</f>
      </c>
    </row>
    <row r="25" spans="2:15" ht="19.5" customHeight="1">
      <c r="B25" s="79" t="s">
        <v>81</v>
      </c>
      <c r="C25" s="4" t="str">
        <f>D13</f>
        <v>Kostenberechnung</v>
      </c>
      <c r="E25" s="64">
        <f>IF(SUM(G26:G28)=0,"",'Anlage zur Schlussr.'!H29)</f>
      </c>
      <c r="F25" s="83"/>
      <c r="G25" s="160"/>
      <c r="H25" s="74"/>
      <c r="I25" s="74"/>
      <c r="J25" s="83"/>
      <c r="K25" s="82"/>
      <c r="M25" s="85"/>
      <c r="N25" s="86"/>
      <c r="O25" s="65"/>
    </row>
    <row r="26" spans="1:15" ht="12.75">
      <c r="A26" s="53">
        <v>5</v>
      </c>
      <c r="B26" s="6" t="s">
        <v>27</v>
      </c>
      <c r="F26" s="82">
        <f>IF(G26="","",STAMMDATEN!S16)</f>
        <v>0.25</v>
      </c>
      <c r="G26" s="82">
        <f>IF(STAMMDATEN!S18="","",STAMMDATEN!S18)</f>
        <v>1</v>
      </c>
      <c r="H26" s="83"/>
      <c r="I26" s="82">
        <f>IF(G26="","",STAMMDATEN!$S$55)</f>
        <v>0</v>
      </c>
      <c r="J26" s="83"/>
      <c r="K26" s="82">
        <f>IF(I26=0,"",IF(G26="","",STAMMDATEN!$F$29))</f>
      </c>
      <c r="L26" s="631" t="s">
        <v>193</v>
      </c>
      <c r="M26" s="61" t="s">
        <v>87</v>
      </c>
      <c r="N26" s="64">
        <f>IF(SUM($G$26:$G$28)=0,"",'LPH 5-7'!K36)</f>
        <v>0</v>
      </c>
      <c r="O26" s="96">
        <f>IF(N26=0,"",IF(N26="","",IF(STAMMDATEN!$A$21="X",STAMMDATEN!$C$21,IF(STAMMDATEN!$A$22="X",STAMMDATEN!$C$22,""))))</f>
      </c>
    </row>
    <row r="27" spans="1:15" ht="12.75">
      <c r="A27" s="53">
        <v>6</v>
      </c>
      <c r="B27" s="6" t="s">
        <v>28</v>
      </c>
      <c r="F27" s="82">
        <f>IF(G27="","",STAMMDATEN!T16)</f>
        <v>0.1</v>
      </c>
      <c r="G27" s="82">
        <f>IF(STAMMDATEN!T18="","",STAMMDATEN!T18)</f>
        <v>1</v>
      </c>
      <c r="H27" s="83"/>
      <c r="I27" s="82">
        <f>IF(G27="","",STAMMDATEN!$T$55)</f>
        <v>0</v>
      </c>
      <c r="J27" s="83"/>
      <c r="K27" s="82">
        <f>IF(I27=0,"",IF(G27="","",STAMMDATEN!$F$29))</f>
      </c>
      <c r="L27" s="631"/>
      <c r="M27" s="61" t="str">
        <f>IF(STAMMDATEN!$F$29="","","ZU")</f>
        <v>ZU</v>
      </c>
      <c r="N27" s="64">
        <f>IF(SUM($G$26:$G$28)=0,"",'LPH 5-7'!M36)</f>
        <v>0</v>
      </c>
      <c r="O27" s="96">
        <f>IF(N27=0,"",IF(N27="","",IF(STAMMDATEN!$A$21="X",STAMMDATEN!$C$21,IF(STAMMDATEN!$A$22="X",STAMMDATEN!$C$22,""))))</f>
      </c>
    </row>
    <row r="28" spans="1:15" ht="12.75">
      <c r="A28" s="53">
        <v>7</v>
      </c>
      <c r="B28" s="6" t="s">
        <v>29</v>
      </c>
      <c r="E28" s="84"/>
      <c r="F28" s="82">
        <f>IF(G28="","",STAMMDATEN!U16)</f>
        <v>0.04</v>
      </c>
      <c r="G28" s="82">
        <f>IF(STAMMDATEN!U18="","",STAMMDATEN!U18)</f>
        <v>1</v>
      </c>
      <c r="H28" s="83"/>
      <c r="I28" s="82">
        <f>IF(G28="","",STAMMDATEN!$U$55)</f>
        <v>0</v>
      </c>
      <c r="J28" s="83"/>
      <c r="K28" s="82">
        <f>IF(I28=0,"",IF(G28="","",STAMMDATEN!$F$29))</f>
      </c>
      <c r="L28" s="631"/>
      <c r="M28" s="61">
        <f>IF(STAMMDATEN!$F$21="","","NK")</f>
      </c>
      <c r="N28" s="64">
        <f>IF(SUM($G$26:$G$28)=0,"",'LPH 5-7'!O36)</f>
        <v>0</v>
      </c>
      <c r="O28" s="96">
        <f>IF(N28=0,"",IF(N28="","",IF(STAMMDATEN!$A$21="X",STAMMDATEN!$C$21,IF(STAMMDATEN!$A$22="X",STAMMDATEN!$C$22,""))))</f>
      </c>
    </row>
    <row r="29" spans="2:15" ht="19.5" customHeight="1">
      <c r="B29" s="72" t="str">
        <f>IF(A31=9,"8-9","8")</f>
        <v>8-9</v>
      </c>
      <c r="C29" s="4" t="str">
        <f>D14</f>
        <v>Kostenanschlag</v>
      </c>
      <c r="E29" s="64">
        <f>IF(SUM(I30:I31)=0,"",'Anlage zur Schlussr.'!H40)</f>
      </c>
      <c r="F29" s="83"/>
      <c r="G29" s="160"/>
      <c r="H29" s="83"/>
      <c r="I29" s="74"/>
      <c r="J29" s="83"/>
      <c r="K29" s="82"/>
      <c r="M29" s="85"/>
      <c r="N29" s="35"/>
      <c r="O29" s="65"/>
    </row>
    <row r="30" spans="1:15" ht="12.75">
      <c r="A30" s="53">
        <v>8</v>
      </c>
      <c r="B30" s="6" t="s">
        <v>30</v>
      </c>
      <c r="F30" s="82">
        <f>IF(G30="","",STAMMDATEN!V16)</f>
        <v>0.31</v>
      </c>
      <c r="G30" s="82">
        <f>IF(STAMMDATEN!V18="","",STAMMDATEN!V18)</f>
        <v>1</v>
      </c>
      <c r="H30" s="83"/>
      <c r="I30" s="82">
        <f>IF(G30="","",STAMMDATEN!$V$55)</f>
        <v>0</v>
      </c>
      <c r="J30" s="83"/>
      <c r="K30" s="82">
        <f>IF(I30=0,"",IF(G30="","",STAMMDATEN!$F$29))</f>
      </c>
      <c r="L30" s="631" t="str">
        <f>IF(A31=9,"LPH 8-9","LPH 8")</f>
        <v>LPH 8-9</v>
      </c>
      <c r="M30" s="61" t="s">
        <v>87</v>
      </c>
      <c r="N30" s="64">
        <f>IF(SUM($G$30:$G$31)=0,"",'LPH 8-9'!I36)</f>
        <v>0</v>
      </c>
      <c r="O30" s="96">
        <f>IF(N30=0,"",IF(N30="","",IF(STAMMDATEN!$A$21="X",STAMMDATEN!$C$21,IF(STAMMDATEN!$A$22="X",STAMMDATEN!$C$22,""))))</f>
      </c>
    </row>
    <row r="31" spans="1:15" ht="12.75">
      <c r="A31" s="53">
        <f>IF(G31="","",9)</f>
        <v>9</v>
      </c>
      <c r="B31" s="6" t="str">
        <f>IF(G31="","","Objektbetreuung und Dokumentation")</f>
        <v>Objektbetreuung und Dokumentation</v>
      </c>
      <c r="E31" s="84"/>
      <c r="F31" s="82">
        <f>IF(G31="","",STAMMDATEN!W16)</f>
        <v>0.03</v>
      </c>
      <c r="G31" s="82">
        <f>IF(STAMMDATEN!W18="","",STAMMDATEN!W18)</f>
        <v>1</v>
      </c>
      <c r="H31" s="83"/>
      <c r="I31" s="82">
        <f>IF(G31="","",STAMMDATEN!$W$55)</f>
        <v>0</v>
      </c>
      <c r="J31" s="83"/>
      <c r="K31" s="82">
        <f>IF(I31=0,"",IF(G31="","",STAMMDATEN!$F$29))</f>
      </c>
      <c r="L31" s="631"/>
      <c r="M31" s="61" t="str">
        <f>IF(STAMMDATEN!$F$29="","","ZU")</f>
        <v>ZU</v>
      </c>
      <c r="N31" s="64">
        <f>IF(SUM($G$30:$G$31)=0,"",'LPH 8-9'!K36)</f>
        <v>0</v>
      </c>
      <c r="O31" s="96">
        <f>IF(N31=0,"",IF(N31="","",IF(STAMMDATEN!$A$21="X",STAMMDATEN!$C$21,IF(STAMMDATEN!$A$22="X",STAMMDATEN!$C$22,""))))</f>
      </c>
    </row>
    <row r="32" spans="1:15" ht="12.75">
      <c r="A32" s="53"/>
      <c r="E32" s="84"/>
      <c r="F32" s="82"/>
      <c r="G32" s="161"/>
      <c r="H32" s="83"/>
      <c r="I32" s="82"/>
      <c r="J32" s="83"/>
      <c r="K32" s="82"/>
      <c r="L32" s="631"/>
      <c r="M32" s="61">
        <f>IF(STAMMDATEN!$F$21="","","NK")</f>
      </c>
      <c r="N32" s="377">
        <f>IF(SUM($G$30:$G$31)=0,"",'LPH 8-9'!M36)</f>
        <v>0</v>
      </c>
      <c r="O32" s="96">
        <f>IF(N32=0,"",IF(N32="","",IF(STAMMDATEN!$A$21="X",STAMMDATEN!$C$21,IF(STAMMDATEN!$A$22="X",STAMMDATEN!$C$22,""))))</f>
      </c>
    </row>
    <row r="33" spans="1:15" ht="18.75" customHeight="1">
      <c r="A33" s="72"/>
      <c r="B33" s="62"/>
      <c r="E33" s="72"/>
      <c r="F33" s="88"/>
      <c r="G33" s="162"/>
      <c r="H33" s="35"/>
      <c r="I33" s="89"/>
      <c r="J33" s="89"/>
      <c r="K33" s="89"/>
      <c r="L33" s="101" t="str">
        <f>IF($L$34="","","Netto 1")</f>
        <v>Netto 1</v>
      </c>
      <c r="N33" s="64">
        <f>IF(SUM(I21:I31)=0,"",SUM(N22:N32))</f>
        <v>0</v>
      </c>
      <c r="O33" s="96">
        <f>IF(N33=0,"",IF(N33="","",IF(STAMMDATEN!$A$21="X",STAMMDATEN!$C$21,IF(STAMMDATEN!$A$22="X",STAMMDATEN!$C$22,""))))</f>
      </c>
    </row>
    <row r="34" spans="2:15" ht="19.5" customHeight="1">
      <c r="B34" s="420"/>
      <c r="C34" s="420"/>
      <c r="E34" s="64"/>
      <c r="F34" s="32"/>
      <c r="G34" s="162"/>
      <c r="H34" s="87" t="str">
        <f>IF(STAMMDATEN!L20="","",IF(A15=1,"","abzüglich"))</f>
        <v>abzüglich</v>
      </c>
      <c r="I34" s="89"/>
      <c r="K34" s="87" t="str">
        <f>IF(SUM(I21:I31)=0,"",IF(STAMMDATEN!L40=1,"",IF(A38=25,"AZ 1",IF(A38=30,"",IF(A38=35,"",IF(A38=55,"AZ 1",IF(A38=60,"AZ 1",IF(A38&gt;=55,"1. Schluss"))))))))</f>
        <v>AZ 1</v>
      </c>
      <c r="L34" s="90">
        <f>IF(STAMMDATEN!L40=1,"",IF(A38=25,STAMMDATEN!L40-1,IF(A38=55,STAMMDATEN!L40,IF(A38=60,STAMMDATEN!L40,IF(A38&gt;=60,"-Rechnung","")))))</f>
        <v>1</v>
      </c>
      <c r="N34" s="377">
        <f>-IF(N33="","",'LPH 8-9'!Z36)</f>
        <v>0</v>
      </c>
      <c r="O34" s="96">
        <f>IF(N34=0,"",IF(N34="","",IF(STAMMDATEN!$A$21="X",STAMMDATEN!$C$21,IF(STAMMDATEN!$A$22="X",STAMMDATEN!$C$22,""))))</f>
      </c>
    </row>
    <row r="35" spans="2:15" ht="19.5" customHeight="1">
      <c r="B35" s="420"/>
      <c r="E35" s="64"/>
      <c r="F35" s="32"/>
      <c r="G35" s="162"/>
      <c r="H35" s="35"/>
      <c r="I35" s="89"/>
      <c r="J35" s="87"/>
      <c r="L35" s="87">
        <f>IF(STAMMDATEN!N9="","",STAMMDATEN!N8)</f>
      </c>
      <c r="M35" s="37"/>
      <c r="N35" s="64">
        <f>IF(STAMMDATEN!N9="","",STAMMDATEN!N9)</f>
      </c>
      <c r="O35" s="96">
        <f>IF(N35=0,"",IF(N35="","",IF(STAMMDATEN!$A$21="X",STAMMDATEN!$C$21,IF(STAMMDATEN!$A$22="X",STAMMDATEN!$C$22,""))))</f>
      </c>
    </row>
    <row r="36" spans="1:15" ht="19.5" customHeight="1">
      <c r="A36" s="91" t="str">
        <f>IF($K$18="KEINE","( * )","")</f>
        <v>( * )</v>
      </c>
      <c r="B36" s="92" t="str">
        <f>IF($J$18="( * )","Die Abrechnung der Nebenkosten erfolgt mit separater Rechnung","")</f>
        <v>Die Abrechnung der Nebenkosten erfolgt mit separater Rechnung</v>
      </c>
      <c r="D36" s="93"/>
      <c r="F36" s="32"/>
      <c r="G36" s="162"/>
      <c r="H36" s="35"/>
      <c r="I36" s="89"/>
      <c r="L36" s="101" t="str">
        <f>IF($L$34="","Netto","Netto 2")</f>
        <v>Netto 2</v>
      </c>
      <c r="N36" s="64">
        <f>SUM(N33:N35)</f>
        <v>0</v>
      </c>
      <c r="O36" s="96">
        <f>IF(N36=0,"",IF(N36="","",IF(STAMMDATEN!$A$21="X",STAMMDATEN!$C$21,IF(STAMMDATEN!$A$22="X",STAMMDATEN!$C$22,""))))</f>
      </c>
    </row>
    <row r="37" spans="2:15" ht="19.5" customHeight="1">
      <c r="B37" s="158">
        <f>IF(N4=0,"",IF(N4=STAMMDATEN!N45,"Die Änderung der MwSt beinhaltet auch bereits angewiesene Beträge ",""))</f>
      </c>
      <c r="J37" s="6" t="s">
        <v>225</v>
      </c>
      <c r="L37" s="94">
        <f>IF(STAMMDATEN!H20="",STAMMDATEN!F19,IF(N4&gt;=STAMMDATEN!H20,STAMMDATEN!F20,IF(N4&lt;=STAMMDATEN!H20,STAMMDATEN!F19,"")))</f>
        <v>0.16</v>
      </c>
      <c r="M37" s="495">
        <f>IF(N4=0,"",IF(N4=STAMMDATEN!N45,"NEU",""))</f>
      </c>
      <c r="N37" s="64">
        <f>IF(L37="","",IF(STAMMDATEN!N45=N4,SUM((N36*L37)+'LPH 8-9'!S38),SUM(N36*L37)))</f>
        <v>0</v>
      </c>
      <c r="O37" s="96">
        <f>IF(N37=0,"",IF(N37="","",IF(STAMMDATEN!$A$21="X",STAMMDATEN!$C$21,IF(STAMMDATEN!$A$22="X",STAMMDATEN!$C$22,""))))</f>
      </c>
    </row>
    <row r="38" spans="1:15" ht="19.5" customHeight="1" thickBot="1">
      <c r="A38" s="588">
        <f>STAMMDATEN!J56</f>
        <v>25</v>
      </c>
      <c r="B38" s="158">
        <f>IF(N4=0,"",IF(N4=STAMMDATEN!N45,"mit Ausnahme der Bereiche, die vor dem Wechsel komplett zu 100%",""))</f>
      </c>
      <c r="K38" s="87"/>
      <c r="L38" s="87" t="s">
        <v>33</v>
      </c>
      <c r="N38" s="376">
        <f>SUM(N36:N37)</f>
        <v>0</v>
      </c>
      <c r="O38" s="96">
        <f>IF(N38=0,"",IF(N38="","",IF(STAMMDATEN!$A$21="X",STAMMDATEN!$C$21,IF(STAMMDATEN!$A$22="X",STAMMDATEN!$C$22,""))))</f>
      </c>
    </row>
    <row r="39" spans="2:15" ht="19.5" customHeight="1" thickTop="1">
      <c r="B39" s="158">
        <f>IF(N4=0,"",IF(N4=STAMMDATEN!N45,"abgerechnet wurden ! ",""))</f>
      </c>
      <c r="L39" s="61">
        <f>IF(STAMMDATEN!A22="X","das entspricht","")</f>
      </c>
      <c r="N39" s="95">
        <f>IF(STAMMDATEN!A22="X",(N38)/Honorar!E1,"")</f>
      </c>
      <c r="O39" s="96">
        <f>IF(N39="","",IF(STAMMDATEN!$A$21="X",STAMMDATEN!$C$22,IF(STAMMDATEN!$A$22="X",STAMMDATEN!$C$21,"")))</f>
      </c>
    </row>
    <row r="40" spans="1:15" ht="14.25" customHeight="1">
      <c r="A40" s="341" t="str">
        <f>IF(N33&lt;=-N34,"Die Rechnung weist ein Guthaben auf","")</f>
        <v>Die Rechnung weist ein Guthaben auf</v>
      </c>
      <c r="C40" s="97"/>
      <c r="I40" s="98"/>
      <c r="J40" s="93">
        <f>IF(STAMMDATEN!$F$15="","","bei Zahlung innerhalb 10 Tagen nach Rechnungserhalt gewähren wir ein Skonto in Höhe von")</f>
      </c>
      <c r="K40" s="348">
        <f>IF(STAMMDATEN!$F$15="","",STAMMDATEN!$F$15)</f>
      </c>
      <c r="L40" s="349">
        <f>IF(STAMMDATEN!$F$15="","","dass entspr.")</f>
      </c>
      <c r="M40" s="98"/>
      <c r="N40" s="350">
        <f>IF(STAMMDATEN!$F$15="","",SUM(N38*K40))</f>
      </c>
      <c r="O40" s="351">
        <f>IF(STAMMDATEN!$F$15="","","€")</f>
      </c>
    </row>
    <row r="41" spans="1:15" ht="12.7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1:15" ht="12.7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 ht="12.75">
      <c r="B43" s="101"/>
      <c r="C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3:15" ht="12.75">
      <c r="C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1:15" ht="12.7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1:15" ht="12.7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1:15" ht="12.7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="101" customFormat="1" ht="12.75"/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/>
    <row r="56" s="101" customFormat="1" ht="12.75"/>
    <row r="57" s="101" customFormat="1" ht="12.75"/>
    <row r="58" s="101" customFormat="1" ht="12.75"/>
    <row r="59" s="101" customFormat="1" ht="12.75"/>
    <row r="60" s="101" customFormat="1" ht="12.75"/>
    <row r="61" s="101" customFormat="1" ht="12.75"/>
    <row r="62" s="101" customFormat="1" ht="12.75"/>
    <row r="63" s="101" customFormat="1" ht="12.75"/>
    <row r="64" s="101" customFormat="1" ht="12.75"/>
    <row r="65" s="101" customFormat="1" ht="12.75"/>
    <row r="66" s="101" customFormat="1" ht="12.75"/>
    <row r="67" s="101" customFormat="1" ht="12.75"/>
    <row r="68" s="101" customFormat="1" ht="12.75"/>
    <row r="69" s="101" customFormat="1" ht="12.75"/>
    <row r="70" s="101" customFormat="1" ht="12.75"/>
    <row r="71" s="101" customFormat="1" ht="12.75"/>
    <row r="72" s="101" customFormat="1" ht="12.75"/>
    <row r="73" s="101" customFormat="1" ht="12.75"/>
    <row r="74" s="101" customFormat="1" ht="12.75"/>
    <row r="75" s="101" customFormat="1" ht="12.75"/>
    <row r="76" s="101" customFormat="1" ht="12.75"/>
    <row r="77" s="101" customFormat="1" ht="12.75"/>
    <row r="78" s="101" customFormat="1" ht="12.75"/>
    <row r="79" s="101" customFormat="1" ht="12.75"/>
    <row r="80" s="101" customFormat="1" ht="12.75"/>
    <row r="81" s="101" customFormat="1" ht="12.75"/>
    <row r="82" s="101" customFormat="1" ht="12.75"/>
    <row r="83" s="101" customFormat="1" ht="12.75"/>
    <row r="84" s="101" customFormat="1" ht="12.75"/>
    <row r="85" s="101" customFormat="1" ht="12.75"/>
    <row r="86" s="101" customFormat="1" ht="12.75"/>
    <row r="87" s="101" customFormat="1" ht="12.75"/>
    <row r="88" s="101" customFormat="1" ht="12.75"/>
    <row r="89" s="101" customFormat="1" ht="12.75"/>
    <row r="90" s="101" customFormat="1" ht="12.75"/>
    <row r="91" s="101" customFormat="1" ht="12.75"/>
    <row r="92" s="101" customFormat="1" ht="12.75"/>
    <row r="93" s="101" customFormat="1" ht="12.75"/>
    <row r="94" s="101" customFormat="1" ht="12.75"/>
    <row r="95" s="101" customFormat="1" ht="12.75"/>
    <row r="96" s="101" customFormat="1" ht="12.75"/>
    <row r="97" s="101" customFormat="1" ht="12.75"/>
    <row r="98" s="101" customFormat="1" ht="12.75"/>
    <row r="99" s="101" customFormat="1" ht="12.75"/>
    <row r="100" s="101" customFormat="1" ht="12.75"/>
    <row r="101" s="101" customFormat="1" ht="12.75"/>
    <row r="102" s="101" customFormat="1" ht="12.75"/>
    <row r="103" s="101" customFormat="1" ht="12.75"/>
    <row r="104" s="101" customFormat="1" ht="12.75"/>
    <row r="105" s="101" customFormat="1" ht="12.75"/>
    <row r="106" s="101" customFormat="1" ht="12.75"/>
    <row r="107" s="101" customFormat="1" ht="12.75"/>
    <row r="108" s="101" customFormat="1" ht="12.75"/>
    <row r="109" s="101" customFormat="1" ht="12.75"/>
    <row r="110" s="101" customFormat="1" ht="12.75"/>
    <row r="111" s="101" customFormat="1" ht="12.75"/>
    <row r="112" s="101" customFormat="1" ht="12.75"/>
    <row r="113" s="101" customFormat="1" ht="12.75"/>
    <row r="114" s="101" customFormat="1" ht="12.75"/>
    <row r="115" s="101" customFormat="1" ht="12.75"/>
    <row r="116" s="101" customFormat="1" ht="12.75"/>
    <row r="117" s="101" customFormat="1" ht="12.75"/>
    <row r="118" s="101" customFormat="1" ht="12.75"/>
    <row r="119" s="101" customFormat="1" ht="12.75"/>
    <row r="120" s="101" customFormat="1" ht="12.75"/>
    <row r="121" s="101" customFormat="1" ht="12.75"/>
    <row r="122" s="101" customFormat="1" ht="12.75"/>
    <row r="123" s="101" customFormat="1" ht="12.75"/>
    <row r="124" s="101" customFormat="1" ht="12.75"/>
    <row r="125" s="101" customFormat="1" ht="12.75"/>
    <row r="126" s="101" customFormat="1" ht="12.75"/>
    <row r="127" s="101" customFormat="1" ht="12.75"/>
    <row r="128" s="101" customFormat="1" ht="12.75"/>
    <row r="129" s="101" customFormat="1" ht="12.75"/>
    <row r="130" s="101" customFormat="1" ht="12.75"/>
    <row r="131" s="101" customFormat="1" ht="12.75"/>
    <row r="132" s="101" customFormat="1" ht="12.75"/>
    <row r="133" s="101" customFormat="1" ht="12.75"/>
    <row r="134" s="101" customFormat="1" ht="12.75"/>
    <row r="135" s="101" customFormat="1" ht="12.75"/>
    <row r="136" s="101" customFormat="1" ht="12.75"/>
    <row r="137" s="101" customFormat="1" ht="12.75"/>
    <row r="138" s="101" customFormat="1" ht="12.75"/>
    <row r="139" s="101" customFormat="1" ht="12.75"/>
    <row r="140" s="101" customFormat="1" ht="12.75"/>
    <row r="141" s="101" customFormat="1" ht="12.75"/>
    <row r="142" s="101" customFormat="1" ht="12.75"/>
    <row r="143" s="101" customFormat="1" ht="12.75"/>
    <row r="144" s="101" customFormat="1" ht="12.75"/>
    <row r="145" s="101" customFormat="1" ht="12.75"/>
    <row r="146" s="101" customFormat="1" ht="12.75"/>
    <row r="147" s="101" customFormat="1" ht="12.75"/>
    <row r="148" s="101" customFormat="1" ht="12.75"/>
    <row r="149" s="101" customFormat="1" ht="12.75"/>
    <row r="150" s="101" customFormat="1" ht="12.75"/>
    <row r="151" s="101" customFormat="1" ht="12.75"/>
    <row r="152" s="101" customFormat="1" ht="12.75"/>
    <row r="153" s="101" customFormat="1" ht="12.75"/>
    <row r="154" s="101" customFormat="1" ht="12.75"/>
    <row r="155" s="101" customFormat="1" ht="12.75"/>
    <row r="156" s="101" customFormat="1" ht="12.75"/>
    <row r="157" s="101" customFormat="1" ht="12.75"/>
    <row r="158" s="101" customFormat="1" ht="12.75"/>
    <row r="159" s="101" customFormat="1" ht="12.75"/>
    <row r="160" s="101" customFormat="1" ht="12.75"/>
    <row r="161" s="101" customFormat="1" ht="12.75"/>
    <row r="162" s="101" customFormat="1" ht="12.75"/>
    <row r="163" s="101" customFormat="1" ht="12.75"/>
    <row r="164" s="101" customFormat="1" ht="12.75"/>
    <row r="165" s="101" customFormat="1" ht="12.75"/>
    <row r="166" s="101" customFormat="1" ht="12.75"/>
    <row r="167" s="101" customFormat="1" ht="12.75"/>
    <row r="168" s="101" customFormat="1" ht="12.75"/>
    <row r="169" s="101" customFormat="1" ht="12.75"/>
    <row r="170" s="101" customFormat="1" ht="12.75"/>
    <row r="171" s="101" customFormat="1" ht="12.75"/>
    <row r="172" s="101" customFormat="1" ht="12.75"/>
    <row r="173" s="101" customFormat="1" ht="12.75"/>
    <row r="174" s="101" customFormat="1" ht="12.75"/>
    <row r="175" s="101" customFormat="1" ht="12.75"/>
    <row r="176" s="101" customFormat="1" ht="12.75"/>
    <row r="177" s="101" customFormat="1" ht="12.75"/>
    <row r="178" s="101" customFormat="1" ht="12.75"/>
    <row r="179" s="101" customFormat="1" ht="12.75"/>
    <row r="180" s="101" customFormat="1" ht="12.75"/>
    <row r="181" s="101" customFormat="1" ht="12.75"/>
    <row r="182" s="101" customFormat="1" ht="12.75"/>
    <row r="183" s="101" customFormat="1" ht="12.75"/>
    <row r="184" s="101" customFormat="1" ht="12.75"/>
    <row r="185" s="101" customFormat="1" ht="12.75"/>
    <row r="186" s="101" customFormat="1" ht="12.75"/>
    <row r="187" s="101" customFormat="1" ht="12.75"/>
    <row r="188" s="101" customFormat="1" ht="12.75"/>
    <row r="189" s="101" customFormat="1" ht="12.75"/>
    <row r="190" s="101" customFormat="1" ht="12.75"/>
    <row r="191" s="101" customFormat="1" ht="12.75"/>
    <row r="192" s="101" customFormat="1" ht="12.75"/>
    <row r="193" s="101" customFormat="1" ht="12.75"/>
    <row r="194" s="101" customFormat="1" ht="12.75"/>
    <row r="195" s="101" customFormat="1" ht="12.75"/>
    <row r="196" s="101" customFormat="1" ht="12.75"/>
    <row r="197" s="101" customFormat="1" ht="12.75"/>
    <row r="198" s="101" customFormat="1" ht="12.75"/>
    <row r="199" s="101" customFormat="1" ht="12.75"/>
    <row r="200" s="101" customFormat="1" ht="12.75"/>
    <row r="201" s="101" customFormat="1" ht="12.75"/>
    <row r="202" s="101" customFormat="1" ht="12.75"/>
    <row r="203" s="101" customFormat="1" ht="12.75"/>
    <row r="204" s="101" customFormat="1" ht="12.75"/>
    <row r="205" s="101" customFormat="1" ht="12.75"/>
    <row r="206" s="101" customFormat="1" ht="12.75"/>
    <row r="207" s="101" customFormat="1" ht="12.75"/>
    <row r="208" s="101" customFormat="1" ht="12.75"/>
    <row r="209" s="101" customFormat="1" ht="12.75"/>
    <row r="210" s="101" customFormat="1" ht="12.75"/>
    <row r="211" s="101" customFormat="1" ht="12.75"/>
    <row r="212" s="101" customFormat="1" ht="12.75"/>
    <row r="213" s="101" customFormat="1" ht="12.75"/>
    <row r="214" s="101" customFormat="1" ht="12.75"/>
    <row r="215" s="101" customFormat="1" ht="12.75"/>
    <row r="216" s="101" customFormat="1" ht="12.75"/>
    <row r="217" s="101" customFormat="1" ht="12.75"/>
    <row r="218" s="101" customFormat="1" ht="12.75"/>
    <row r="219" s="101" customFormat="1" ht="12.75"/>
    <row r="220" s="101" customFormat="1" ht="12.75"/>
    <row r="221" s="101" customFormat="1" ht="12.75"/>
    <row r="222" s="101" customFormat="1" ht="12.75"/>
    <row r="223" s="101" customFormat="1" ht="12.75"/>
    <row r="224" s="101" customFormat="1" ht="12.75"/>
    <row r="225" s="101" customFormat="1" ht="12.75"/>
    <row r="226" s="101" customFormat="1" ht="12.75"/>
    <row r="227" s="101" customFormat="1" ht="12.75"/>
    <row r="228" s="101" customFormat="1" ht="12.75"/>
    <row r="229" s="101" customFormat="1" ht="12.75"/>
    <row r="230" s="101" customFormat="1" ht="12.75"/>
    <row r="231" s="101" customFormat="1" ht="12.75"/>
    <row r="232" s="101" customFormat="1" ht="12.75"/>
    <row r="233" s="101" customFormat="1" ht="12.75"/>
    <row r="234" s="101" customFormat="1" ht="12.75"/>
    <row r="235" s="101" customFormat="1" ht="12.75"/>
    <row r="236" s="101" customFormat="1" ht="12.75"/>
    <row r="237" s="101" customFormat="1" ht="12.75"/>
    <row r="238" s="101" customFormat="1" ht="12.75"/>
    <row r="239" s="101" customFormat="1" ht="12.75"/>
    <row r="240" s="101" customFormat="1" ht="12.75"/>
    <row r="241" s="101" customFormat="1" ht="12.75"/>
    <row r="242" s="101" customFormat="1" ht="12.75"/>
    <row r="243" s="101" customFormat="1" ht="12.75"/>
    <row r="244" s="101" customFormat="1" ht="12.75"/>
    <row r="245" s="101" customFormat="1" ht="12.75"/>
    <row r="246" s="101" customFormat="1" ht="12.75"/>
    <row r="247" s="101" customFormat="1" ht="12.75"/>
    <row r="248" s="101" customFormat="1" ht="12.75"/>
    <row r="249" s="101" customFormat="1" ht="12.75"/>
    <row r="250" s="101" customFormat="1" ht="12.75"/>
    <row r="251" s="101" customFormat="1" ht="12.75"/>
    <row r="252" s="101" customFormat="1" ht="12.75"/>
    <row r="253" s="101" customFormat="1" ht="12.75"/>
    <row r="254" s="101" customFormat="1" ht="12.75"/>
    <row r="255" s="101" customFormat="1" ht="12.75"/>
    <row r="256" s="101" customFormat="1" ht="12.75"/>
    <row r="257" s="101" customFormat="1" ht="12.75"/>
    <row r="258" s="101" customFormat="1" ht="12.75"/>
    <row r="259" s="101" customFormat="1" ht="12.75"/>
    <row r="260" s="101" customFormat="1" ht="12.75"/>
    <row r="261" s="101" customFormat="1" ht="12.75"/>
    <row r="262" s="101" customFormat="1" ht="12.75"/>
    <row r="263" s="101" customFormat="1" ht="12.75"/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  <row r="281" s="101" customFormat="1" ht="12.75"/>
    <row r="282" s="101" customFormat="1" ht="12.75"/>
    <row r="283" s="101" customFormat="1" ht="12.75"/>
    <row r="284" s="101" customFormat="1" ht="12.75"/>
    <row r="285" s="101" customFormat="1" ht="12.75"/>
    <row r="286" s="101" customFormat="1" ht="12.75"/>
    <row r="287" s="101" customFormat="1" ht="12.75"/>
    <row r="288" s="101" customFormat="1" ht="12.75"/>
    <row r="289" s="101" customFormat="1" ht="12.75"/>
    <row r="290" s="101" customFormat="1" ht="12.75"/>
    <row r="291" s="101" customFormat="1" ht="12.75"/>
    <row r="292" s="101" customFormat="1" ht="12.75"/>
    <row r="293" s="101" customFormat="1" ht="12.75"/>
    <row r="294" s="101" customFormat="1" ht="12.75"/>
    <row r="295" s="101" customFormat="1" ht="12.75"/>
    <row r="296" s="101" customFormat="1" ht="12.75"/>
    <row r="297" s="101" customFormat="1" ht="12.75"/>
    <row r="298" s="101" customFormat="1" ht="12.75"/>
    <row r="299" s="101" customFormat="1" ht="12.75"/>
    <row r="300" s="101" customFormat="1" ht="12.75"/>
    <row r="301" s="101" customFormat="1" ht="12.75"/>
    <row r="302" s="101" customFormat="1" ht="12.75"/>
    <row r="303" s="101" customFormat="1" ht="12.75"/>
    <row r="304" s="101" customFormat="1" ht="12.75"/>
    <row r="305" s="101" customFormat="1" ht="12.75"/>
    <row r="306" s="101" customFormat="1" ht="12.75"/>
    <row r="307" s="101" customFormat="1" ht="12.75"/>
    <row r="308" s="101" customFormat="1" ht="12.75"/>
    <row r="309" s="101" customFormat="1" ht="12.75"/>
    <row r="310" s="101" customFormat="1" ht="12.75"/>
    <row r="311" s="101" customFormat="1" ht="12.75"/>
    <row r="312" s="101" customFormat="1" ht="12.75"/>
    <row r="313" s="101" customFormat="1" ht="12.75"/>
    <row r="314" s="101" customFormat="1" ht="12.75"/>
    <row r="315" s="101" customFormat="1" ht="12.75"/>
    <row r="316" s="101" customFormat="1" ht="12.75"/>
    <row r="317" s="101" customFormat="1" ht="12.75"/>
    <row r="318" s="101" customFormat="1" ht="12.75"/>
    <row r="319" s="101" customFormat="1" ht="12.75"/>
    <row r="320" s="101" customFormat="1" ht="12.75"/>
    <row r="321" s="101" customFormat="1" ht="12.75"/>
    <row r="322" s="101" customFormat="1" ht="12.75"/>
    <row r="323" s="101" customFormat="1" ht="12.75"/>
    <row r="324" s="101" customFormat="1" ht="12.75"/>
    <row r="325" s="101" customFormat="1" ht="12.75"/>
    <row r="326" s="101" customFormat="1" ht="12.75"/>
    <row r="327" s="101" customFormat="1" ht="12.75"/>
    <row r="328" s="101" customFormat="1" ht="12.75"/>
    <row r="329" s="101" customFormat="1" ht="12.75"/>
    <row r="330" s="101" customFormat="1" ht="12.75"/>
    <row r="331" s="101" customFormat="1" ht="12.75"/>
    <row r="332" s="101" customFormat="1" ht="12.75"/>
    <row r="333" s="101" customFormat="1" ht="12.75"/>
    <row r="334" s="101" customFormat="1" ht="12.75"/>
    <row r="335" s="101" customFormat="1" ht="12.75"/>
    <row r="336" s="101" customFormat="1" ht="12.75"/>
    <row r="337" s="101" customFormat="1" ht="12.75"/>
    <row r="338" s="101" customFormat="1" ht="12.75"/>
    <row r="339" s="101" customFormat="1" ht="12.75"/>
    <row r="340" s="101" customFormat="1" ht="12.75"/>
    <row r="341" s="101" customFormat="1" ht="12.75"/>
    <row r="342" s="101" customFormat="1" ht="12.75"/>
  </sheetData>
  <sheetProtection password="C611" sheet="1" objects="1" scenarios="1"/>
  <mergeCells count="5">
    <mergeCell ref="I17:I20"/>
    <mergeCell ref="G16:G20"/>
    <mergeCell ref="L30:L32"/>
    <mergeCell ref="L26:L28"/>
    <mergeCell ref="L22:L24"/>
  </mergeCells>
  <printOptions horizontalCentered="1"/>
  <pageMargins left="0.5905511811023623" right="0.1968503937007874" top="2.362204724409449" bottom="0.1968503937007874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"/>
  <sheetViews>
    <sheetView showZeros="0" workbookViewId="0" topLeftCell="A1">
      <selection activeCell="A1" sqref="A1"/>
    </sheetView>
  </sheetViews>
  <sheetFormatPr defaultColWidth="11.421875" defaultRowHeight="12.75"/>
  <cols>
    <col min="1" max="1" width="3.57421875" style="101" customWidth="1"/>
    <col min="2" max="2" width="11.421875" style="101" customWidth="1"/>
    <col min="3" max="4" width="11.421875" style="482" customWidth="1"/>
    <col min="5" max="5" width="2.8515625" style="101" customWidth="1"/>
    <col min="6" max="11" width="11.421875" style="482" customWidth="1"/>
    <col min="12" max="12" width="3.00390625" style="101" customWidth="1"/>
    <col min="13" max="13" width="15.00390625" style="101" bestFit="1" customWidth="1"/>
    <col min="14" max="14" width="3.7109375" style="101" bestFit="1" customWidth="1"/>
    <col min="15" max="15" width="3.421875" style="101" bestFit="1" customWidth="1"/>
    <col min="16" max="20" width="4.28125" style="101" customWidth="1"/>
    <col min="21" max="21" width="3.7109375" style="101" customWidth="1"/>
    <col min="22" max="22" width="5.57421875" style="101" customWidth="1"/>
    <col min="23" max="23" width="5.00390625" style="101" customWidth="1"/>
    <col min="24" max="16384" width="11.421875" style="101" customWidth="1"/>
  </cols>
  <sheetData>
    <row r="1" spans="1:20" ht="12.75">
      <c r="A1" s="465">
        <f>IF(STAMMDATEN!A30="X","X","")</f>
      </c>
      <c r="B1" s="458" t="s">
        <v>22</v>
      </c>
      <c r="C1" s="498"/>
      <c r="D1" s="459" t="s">
        <v>247</v>
      </c>
      <c r="E1" s="499">
        <f>N1</f>
        <v>0</v>
      </c>
      <c r="F1" s="500" t="str">
        <f>IF(STAMMDATEN!A15="X","X","")</f>
        <v>X</v>
      </c>
      <c r="G1" s="500">
        <f>IF(STAMMDATEN!A16="X","X","")</f>
      </c>
      <c r="H1" s="500">
        <f>IF(STAMMDATEN!A17="X","X","")</f>
      </c>
      <c r="I1" s="500">
        <f>IF(STAMMDATEN!A18="X","X","")</f>
      </c>
      <c r="J1" s="500">
        <f>IF(STAMMDATEN!A19="X","X","")</f>
      </c>
      <c r="K1" s="492"/>
      <c r="L1" s="483"/>
      <c r="M1" s="501"/>
      <c r="N1" s="501"/>
      <c r="O1" s="501"/>
      <c r="P1" s="138">
        <v>0</v>
      </c>
      <c r="Q1" s="138">
        <v>1</v>
      </c>
      <c r="R1" s="138">
        <v>2</v>
      </c>
      <c r="S1" s="138">
        <v>3</v>
      </c>
      <c r="T1" s="138">
        <v>4</v>
      </c>
    </row>
    <row r="2" spans="1:20" ht="12.75">
      <c r="A2" s="483"/>
      <c r="B2" s="549"/>
      <c r="C2" s="492"/>
      <c r="D2" s="492"/>
      <c r="F2" s="486" t="s">
        <v>240</v>
      </c>
      <c r="G2" s="487" t="s">
        <v>241</v>
      </c>
      <c r="H2" s="488" t="s">
        <v>242</v>
      </c>
      <c r="I2" s="489" t="s">
        <v>243</v>
      </c>
      <c r="J2" s="490" t="s">
        <v>244</v>
      </c>
      <c r="K2" s="491"/>
      <c r="L2" s="483"/>
      <c r="M2" s="442" t="s">
        <v>91</v>
      </c>
      <c r="N2" s="443" t="s">
        <v>82</v>
      </c>
      <c r="O2" s="444" t="s">
        <v>83</v>
      </c>
      <c r="P2" s="465" t="str">
        <f>IF(STAMMDATEN!$C$15="X","X","")</f>
        <v>X</v>
      </c>
      <c r="Q2" s="465">
        <f>IF(STAMMDATEN!$C$16="X","X","")</f>
      </c>
      <c r="R2" s="465">
        <f>IF(STAMMDATEN!$C$17="X","X","")</f>
      </c>
      <c r="S2" s="465">
        <f>IF(STAMMDATEN!$C$18="X","X","")</f>
      </c>
      <c r="T2" s="465">
        <f>IF(STAMMDATEN!$C$19="X","X","")</f>
      </c>
    </row>
    <row r="3" spans="1:21" ht="12.75">
      <c r="A3" s="549"/>
      <c r="B3" s="549" t="s">
        <v>324</v>
      </c>
      <c r="C3" s="492"/>
      <c r="D3" s="492"/>
      <c r="F3" s="549"/>
      <c r="G3" s="487" t="s">
        <v>82</v>
      </c>
      <c r="H3" s="487" t="s">
        <v>83</v>
      </c>
      <c r="I3" s="489" t="s">
        <v>82</v>
      </c>
      <c r="J3" s="489" t="s">
        <v>83</v>
      </c>
      <c r="K3" s="491"/>
      <c r="L3" s="465" t="str">
        <f>IF(F1="X","X","")</f>
        <v>X</v>
      </c>
      <c r="M3" s="451" t="s">
        <v>8</v>
      </c>
      <c r="N3" s="445">
        <v>0</v>
      </c>
      <c r="O3" s="446">
        <v>8</v>
      </c>
      <c r="P3" s="453">
        <f aca="true" t="shared" si="0" ref="P3:T7">IF($A$1="X",SUM($O3-$N3)/4*P$1,"")</f>
      </c>
      <c r="Q3" s="453">
        <f t="shared" si="0"/>
      </c>
      <c r="R3" s="453">
        <f t="shared" si="0"/>
      </c>
      <c r="S3" s="453">
        <f t="shared" si="0"/>
      </c>
      <c r="T3" s="453">
        <f t="shared" si="0"/>
      </c>
      <c r="U3" s="447">
        <f>IF($P$2="X",P3,IF($Q$2="X",Q3,IF($R$2="X",R3,IF($S$2="X",S3,IF($T$2="X",T3,"")))))</f>
      </c>
    </row>
    <row r="4" spans="2:21" ht="12.75">
      <c r="B4" s="493" t="s">
        <v>252</v>
      </c>
      <c r="C4" s="494" t="s">
        <v>249</v>
      </c>
      <c r="F4" s="486" t="s">
        <v>82</v>
      </c>
      <c r="G4" s="486" t="s">
        <v>83</v>
      </c>
      <c r="H4" s="488" t="s">
        <v>82</v>
      </c>
      <c r="I4" s="488" t="s">
        <v>83</v>
      </c>
      <c r="J4" s="490" t="s">
        <v>82</v>
      </c>
      <c r="K4" s="490" t="s">
        <v>83</v>
      </c>
      <c r="L4" s="465">
        <f>IF(G1="X","X","")</f>
      </c>
      <c r="M4" s="452" t="s">
        <v>10</v>
      </c>
      <c r="N4" s="447">
        <v>9</v>
      </c>
      <c r="O4" s="448">
        <v>15</v>
      </c>
      <c r="P4" s="453">
        <f t="shared" si="0"/>
      </c>
      <c r="Q4" s="453">
        <f t="shared" si="0"/>
      </c>
      <c r="R4" s="453">
        <f t="shared" si="0"/>
      </c>
      <c r="S4" s="453">
        <f t="shared" si="0"/>
      </c>
      <c r="T4" s="453">
        <f t="shared" si="0"/>
      </c>
      <c r="U4" s="447">
        <f>IF($P$2="X",P4,IF($Q$2="X",Q4,IF($R$2="X",R4,IF($S$2="X",S4,IF($T$2="X",T4,"")))))</f>
      </c>
    </row>
    <row r="5" spans="2:21" ht="12.75">
      <c r="B5" s="497">
        <v>500</v>
      </c>
      <c r="C5" s="106">
        <f>IF($F$1="X",F5,IF($G$1="X",G5,IF($H$1="X",H5,IF($I$1="X",I5,IF($J$1="X",J5,"")))))</f>
        <v>54.18</v>
      </c>
      <c r="D5" s="106">
        <f>IF($F$1="X",G5,IF($G$1="X",H5,IF($H$1="X",I5,IF($I$1="X",J5,IF($J$1="X",K5,"")))))</f>
        <v>71.24</v>
      </c>
      <c r="F5" s="497">
        <v>54.18</v>
      </c>
      <c r="G5" s="497">
        <v>71.24</v>
      </c>
      <c r="H5" s="497">
        <v>88.62</v>
      </c>
      <c r="I5" s="497">
        <v>114.76</v>
      </c>
      <c r="J5" s="497">
        <v>132.11</v>
      </c>
      <c r="K5" s="497">
        <v>145.24</v>
      </c>
      <c r="L5" s="465">
        <f>IF(H1="X","X","")</f>
      </c>
      <c r="M5" s="452" t="s">
        <v>12</v>
      </c>
      <c r="N5" s="447">
        <v>16</v>
      </c>
      <c r="O5" s="448">
        <v>22</v>
      </c>
      <c r="P5" s="453">
        <f t="shared" si="0"/>
      </c>
      <c r="Q5" s="453">
        <f t="shared" si="0"/>
      </c>
      <c r="R5" s="453">
        <f t="shared" si="0"/>
      </c>
      <c r="S5" s="453">
        <f t="shared" si="0"/>
      </c>
      <c r="T5" s="453">
        <f t="shared" si="0"/>
      </c>
      <c r="U5" s="447">
        <f>IF($P$2="X",P5,IF($Q$2="X",Q5,IF($R$2="X",R5,IF($S$2="X",S5,IF($T$2="X",T5,"")))))</f>
      </c>
    </row>
    <row r="6" spans="2:21" ht="12.75">
      <c r="B6" s="99"/>
      <c r="F6" s="100"/>
      <c r="G6" s="100"/>
      <c r="H6" s="100"/>
      <c r="I6" s="100"/>
      <c r="J6" s="100"/>
      <c r="K6" s="100"/>
      <c r="L6" s="465">
        <f>IF(I1="X","X","")</f>
      </c>
      <c r="M6" s="452" t="s">
        <v>16</v>
      </c>
      <c r="N6" s="447">
        <v>23</v>
      </c>
      <c r="O6" s="448">
        <v>29</v>
      </c>
      <c r="P6" s="453">
        <f t="shared" si="0"/>
      </c>
      <c r="Q6" s="453">
        <f t="shared" si="0"/>
      </c>
      <c r="R6" s="453">
        <f t="shared" si="0"/>
      </c>
      <c r="S6" s="453">
        <f t="shared" si="0"/>
      </c>
      <c r="T6" s="453">
        <f t="shared" si="0"/>
      </c>
      <c r="U6" s="447">
        <f>IF($P$2="X",P6,IF($Q$2="X",Q6,IF($R$2="X",R6,IF($S$2="X",S6,IF($T$2="X",T6,"")))))</f>
      </c>
    </row>
    <row r="7" spans="2:21" ht="12.75" customHeight="1">
      <c r="B7" s="497">
        <v>20452</v>
      </c>
      <c r="C7" s="106">
        <f>IF($F$1="X",F7,IF($G$1="X",G7,IF($H$1="X",H7,IF($I$1="X",I7,IF($J$1="X",J7,"")))))</f>
        <v>2378</v>
      </c>
      <c r="D7" s="106">
        <f>IF($F$1="X",G7,IF($G$1="X",H7,IF($H$1="X",I7,IF($I$1="X",J7,IF($J$1="X",K7,"")))))</f>
        <v>2914</v>
      </c>
      <c r="F7" s="497">
        <v>2378</v>
      </c>
      <c r="G7" s="497">
        <v>2914</v>
      </c>
      <c r="H7" s="497">
        <v>3625</v>
      </c>
      <c r="I7" s="497">
        <v>4694</v>
      </c>
      <c r="J7" s="497">
        <v>5404</v>
      </c>
      <c r="K7" s="497">
        <v>5941</v>
      </c>
      <c r="L7" s="465">
        <f>IF(J1="X","X","")</f>
      </c>
      <c r="M7" s="452" t="s">
        <v>14</v>
      </c>
      <c r="N7" s="449">
        <v>30</v>
      </c>
      <c r="O7" s="450">
        <v>36</v>
      </c>
      <c r="P7" s="453">
        <f t="shared" si="0"/>
      </c>
      <c r="Q7" s="453">
        <f t="shared" si="0"/>
      </c>
      <c r="R7" s="453">
        <f t="shared" si="0"/>
      </c>
      <c r="S7" s="453">
        <f t="shared" si="0"/>
      </c>
      <c r="T7" s="453">
        <f t="shared" si="0"/>
      </c>
      <c r="U7" s="447">
        <f>IF($P$2="X",P7,IF($Q$2="X",Q7,IF($R$2="X",R7,IF($S$2="X",S7,IF($T$2="X",T7,"")))))</f>
      </c>
    </row>
    <row r="8" spans="2:20" ht="12.75" customHeight="1">
      <c r="B8" s="99"/>
      <c r="F8" s="99"/>
      <c r="G8" s="99"/>
      <c r="H8" s="99"/>
      <c r="I8" s="99"/>
      <c r="J8" s="99"/>
      <c r="K8" s="99"/>
      <c r="P8" s="600" t="s">
        <v>9</v>
      </c>
      <c r="Q8" s="600" t="s">
        <v>11</v>
      </c>
      <c r="R8" s="600" t="s">
        <v>13</v>
      </c>
      <c r="S8" s="600" t="s">
        <v>15</v>
      </c>
      <c r="T8" s="600" t="s">
        <v>17</v>
      </c>
    </row>
    <row r="9" spans="2:20" ht="12.75">
      <c r="B9" s="497">
        <v>25565</v>
      </c>
      <c r="C9" s="106">
        <f>IF($F$1="X",F9,IF($G$1="X",G9,IF($H$1="X",H9,IF($I$1="X",I9,IF($J$1="X",J9,"")))))</f>
        <v>2954</v>
      </c>
      <c r="D9" s="106">
        <f>IF($F$1="X",G9,IF($G$1="X",H9,IF($H$1="X",I9,IF($I$1="X",J9,IF($J$1="X",K9,"")))))</f>
        <v>3618</v>
      </c>
      <c r="F9" s="497">
        <v>2954</v>
      </c>
      <c r="G9" s="497">
        <v>3618</v>
      </c>
      <c r="H9" s="497">
        <v>4350</v>
      </c>
      <c r="I9" s="497">
        <v>5824</v>
      </c>
      <c r="J9" s="497">
        <v>6537</v>
      </c>
      <c r="K9" s="497">
        <v>7224</v>
      </c>
      <c r="P9" s="600"/>
      <c r="Q9" s="600"/>
      <c r="R9" s="600"/>
      <c r="S9" s="600"/>
      <c r="T9" s="600"/>
    </row>
    <row r="10" spans="2:20" ht="12.75">
      <c r="B10" s="99"/>
      <c r="F10" s="99"/>
      <c r="G10" s="99"/>
      <c r="H10" s="99"/>
      <c r="I10" s="99"/>
      <c r="J10" s="99"/>
      <c r="K10" s="99"/>
      <c r="P10" s="600"/>
      <c r="Q10" s="600"/>
      <c r="R10" s="600"/>
      <c r="S10" s="600"/>
      <c r="T10" s="600"/>
    </row>
    <row r="11" spans="2:20" ht="12.75" customHeight="1">
      <c r="B11" s="497">
        <v>30000</v>
      </c>
      <c r="C11" s="106">
        <f>IF($F$1="X",F11,IF($G$1="X",G11,IF($H$1="X",H11,IF($I$1="X",I11,IF($J$1="X",J11,"")))))</f>
        <v>3453</v>
      </c>
      <c r="D11" s="106">
        <f>IF($F$1="X",G11,IF($G$1="X",H11,IF($H$1="X",I11,IF($I$1="X",J11,IF($J$1="X",K11,"")))))</f>
        <v>4228</v>
      </c>
      <c r="F11" s="497">
        <v>3453</v>
      </c>
      <c r="G11" s="497">
        <v>4228</v>
      </c>
      <c r="H11" s="497">
        <v>5259</v>
      </c>
      <c r="I11" s="497">
        <v>6805</v>
      </c>
      <c r="J11" s="497">
        <v>7836</v>
      </c>
      <c r="K11" s="497">
        <v>8507</v>
      </c>
      <c r="P11" s="600"/>
      <c r="Q11" s="600"/>
      <c r="R11" s="600"/>
      <c r="S11" s="600"/>
      <c r="T11" s="600"/>
    </row>
    <row r="12" spans="2:20" ht="12.75">
      <c r="B12" s="99"/>
      <c r="F12" s="99"/>
      <c r="G12" s="99"/>
      <c r="H12" s="99"/>
      <c r="I12" s="99"/>
      <c r="J12" s="99"/>
      <c r="K12" s="99"/>
      <c r="P12" s="601"/>
      <c r="Q12" s="601"/>
      <c r="R12" s="601"/>
      <c r="S12" s="601"/>
      <c r="T12" s="601"/>
    </row>
    <row r="13" spans="2:11" ht="12.75">
      <c r="B13" s="497">
        <v>35000</v>
      </c>
      <c r="C13" s="106">
        <f>IF($F$1="X",F13,IF($G$1="X",G13,IF($H$1="X",H13,IF($I$1="X",I13,IF($J$1="X",J13,"")))))</f>
        <v>4008</v>
      </c>
      <c r="D13" s="106">
        <f>IF($F$1="X",G13,IF($G$1="X",H13,IF($H$1="X",I13,IF($I$1="X",J13,IF($J$1="X",K13,"")))))</f>
        <v>4904</v>
      </c>
      <c r="F13" s="497">
        <v>4008</v>
      </c>
      <c r="G13" s="497">
        <v>4904</v>
      </c>
      <c r="H13" s="497">
        <v>6100</v>
      </c>
      <c r="I13" s="497">
        <v>7887</v>
      </c>
      <c r="J13" s="497">
        <v>9083</v>
      </c>
      <c r="K13" s="497">
        <v>9979</v>
      </c>
    </row>
    <row r="14" spans="2:20" ht="12.75">
      <c r="B14" s="99"/>
      <c r="F14" s="99"/>
      <c r="G14" s="99"/>
      <c r="H14" s="99"/>
      <c r="I14" s="99"/>
      <c r="J14" s="99"/>
      <c r="K14" s="99"/>
      <c r="N14" s="433">
        <f aca="true" t="shared" si="1" ref="N14:T14">IF($L3="X",N3,IF($L4="X",N4,IF($L5="X",N5,IF($L6="X",N6,IF($L7="X",N7,"")))))</f>
        <v>0</v>
      </c>
      <c r="O14" s="433">
        <f t="shared" si="1"/>
        <v>8</v>
      </c>
      <c r="P14" s="1">
        <f t="shared" si="1"/>
      </c>
      <c r="Q14" s="1">
        <f t="shared" si="1"/>
      </c>
      <c r="R14" s="1">
        <f t="shared" si="1"/>
      </c>
      <c r="S14" s="1">
        <f t="shared" si="1"/>
      </c>
      <c r="T14" s="1">
        <f t="shared" si="1"/>
      </c>
    </row>
    <row r="15" spans="2:11" ht="12.75">
      <c r="B15" s="497">
        <v>40000</v>
      </c>
      <c r="C15" s="106">
        <f>IF($F$1="X",F15,IF($G$1="X",G15,IF($H$1="X",H15,IF($I$1="X",I15,IF($J$1="X",J15,"")))))</f>
        <v>4559</v>
      </c>
      <c r="D15" s="106">
        <f>IF($F$1="X",G15,IF($G$1="X",H15,IF($H$1="X",I15,IF($I$1="X",J15,IF($J$1="X",K15,"")))))</f>
        <v>5575</v>
      </c>
      <c r="F15" s="497">
        <v>4559</v>
      </c>
      <c r="G15" s="497">
        <v>5575</v>
      </c>
      <c r="H15" s="497">
        <v>6931</v>
      </c>
      <c r="I15" s="497">
        <v>8959</v>
      </c>
      <c r="J15" s="497">
        <v>10316</v>
      </c>
      <c r="K15" s="497">
        <v>11332</v>
      </c>
    </row>
    <row r="16" spans="2:11" ht="12.75">
      <c r="B16" s="99"/>
      <c r="F16" s="99"/>
      <c r="G16" s="99"/>
      <c r="H16" s="99"/>
      <c r="I16" s="99"/>
      <c r="J16" s="99"/>
      <c r="K16" s="99"/>
    </row>
    <row r="17" spans="2:24" ht="12.75">
      <c r="B17" s="497">
        <v>45000</v>
      </c>
      <c r="C17" s="106">
        <f>IF($F$1="X",F17,IF($G$1="X",G17,IF($H$1="X",H17,IF($I$1="X",I17,IF($J$1="X",J17,"")))))</f>
        <v>5100</v>
      </c>
      <c r="D17" s="106">
        <f>IF($F$1="X",G17,IF($G$1="X",H17,IF($H$1="X",I17,IF($I$1="X",J17,IF($J$1="X",K17,"")))))</f>
        <v>6237</v>
      </c>
      <c r="F17" s="497">
        <v>5100</v>
      </c>
      <c r="G17" s="497">
        <v>6237</v>
      </c>
      <c r="H17" s="497">
        <v>7749</v>
      </c>
      <c r="I17" s="497">
        <v>10017</v>
      </c>
      <c r="J17" s="497">
        <v>11056</v>
      </c>
      <c r="K17" s="497">
        <v>12665</v>
      </c>
      <c r="W17" s="465">
        <f>IF(A1="X","X","")</f>
      </c>
      <c r="X17" s="465">
        <f>IF(A2="X","X","")</f>
      </c>
    </row>
    <row r="18" spans="2:22" ht="12.75">
      <c r="B18" s="99"/>
      <c r="F18" s="99"/>
      <c r="G18" s="99"/>
      <c r="H18" s="99"/>
      <c r="I18" s="99"/>
      <c r="J18" s="99"/>
      <c r="K18" s="99"/>
      <c r="V18" s="220"/>
    </row>
    <row r="19" spans="2:22" ht="12.75">
      <c r="B19" s="497">
        <v>50000</v>
      </c>
      <c r="C19" s="106">
        <f>IF($F$1="X",F19,IF($G$1="X",G19,IF($H$1="X",H19,IF($I$1="X",I19,IF($J$1="X",J19,"")))))</f>
        <v>5636</v>
      </c>
      <c r="D19" s="106">
        <f>IF($F$1="X",G19,IF($G$1="X",H19,IF($H$1="X",I19,IF($I$1="X",J19,IF($J$1="X",K19,"")))))</f>
        <v>6889</v>
      </c>
      <c r="F19" s="497">
        <v>5636</v>
      </c>
      <c r="G19" s="497">
        <v>6889</v>
      </c>
      <c r="H19" s="497">
        <v>8556</v>
      </c>
      <c r="I19" s="497">
        <v>11056</v>
      </c>
      <c r="J19" s="497">
        <v>12723</v>
      </c>
      <c r="K19" s="497">
        <v>13975</v>
      </c>
      <c r="L19" s="101" t="s">
        <v>185</v>
      </c>
      <c r="S19" s="101" t="s">
        <v>245</v>
      </c>
      <c r="V19" s="157" t="s">
        <v>256</v>
      </c>
    </row>
    <row r="20" spans="2:22" ht="12.75">
      <c r="B20" s="99"/>
      <c r="F20" s="99"/>
      <c r="G20" s="99"/>
      <c r="H20" s="99"/>
      <c r="I20" s="99"/>
      <c r="J20" s="99"/>
      <c r="K20" s="99"/>
      <c r="L20" s="493">
        <v>1</v>
      </c>
      <c r="M20" s="101" t="s">
        <v>24</v>
      </c>
      <c r="V20" s="502">
        <v>0.03</v>
      </c>
    </row>
    <row r="21" spans="2:22" ht="12.75">
      <c r="B21" s="497">
        <v>100000</v>
      </c>
      <c r="C21" s="106">
        <f>IF($F$1="X",F21,IF($G$1="X",G21,IF($H$1="X",H21,IF($I$1="X",I21,IF($J$1="X",J21,"")))))</f>
        <v>10664</v>
      </c>
      <c r="D21" s="106">
        <f>IF($F$1="X",G21,IF($G$1="X",H21,IF($H$1="X",I21,IF($I$1="X",J21,IF($J$1="X",K21,"")))))</f>
        <v>12978</v>
      </c>
      <c r="F21" s="497">
        <v>10664</v>
      </c>
      <c r="G21" s="497">
        <v>12978</v>
      </c>
      <c r="H21" s="497">
        <v>16059</v>
      </c>
      <c r="I21" s="497">
        <v>20687</v>
      </c>
      <c r="J21" s="497">
        <v>23768</v>
      </c>
      <c r="K21" s="497">
        <v>26082</v>
      </c>
      <c r="L21" s="493">
        <v>2</v>
      </c>
      <c r="M21" s="101" t="s">
        <v>25</v>
      </c>
      <c r="V21" s="502">
        <v>0.1</v>
      </c>
    </row>
    <row r="22" spans="2:22" ht="12.75">
      <c r="B22" s="99"/>
      <c r="F22" s="99"/>
      <c r="G22" s="99"/>
      <c r="H22" s="99"/>
      <c r="I22" s="99"/>
      <c r="J22" s="99"/>
      <c r="K22" s="99"/>
      <c r="L22" s="493">
        <v>3</v>
      </c>
      <c r="M22" s="101" t="s">
        <v>26</v>
      </c>
      <c r="V22" s="502">
        <v>0.15</v>
      </c>
    </row>
    <row r="23" spans="2:22" ht="12.75">
      <c r="B23" s="497">
        <v>150000</v>
      </c>
      <c r="C23" s="106">
        <f>IF($F$1="X",F23,IF($G$1="X",G23,IF($H$1="X",H23,IF($I$1="X",I23,IF($J$1="X",J23,"")))))</f>
        <v>15082</v>
      </c>
      <c r="D23" s="106">
        <f>IF($F$1="X",G23,IF($G$1="X",H23,IF($H$1="X",I23,IF($I$1="X",J23,IF($J$1="X",K23,"")))))</f>
        <v>18275</v>
      </c>
      <c r="F23" s="497">
        <v>15082</v>
      </c>
      <c r="G23" s="497">
        <v>18275</v>
      </c>
      <c r="H23" s="497">
        <v>22532</v>
      </c>
      <c r="I23" s="497">
        <v>28918</v>
      </c>
      <c r="J23" s="497">
        <v>33174</v>
      </c>
      <c r="K23" s="497">
        <v>36367</v>
      </c>
      <c r="L23" s="493">
        <v>4</v>
      </c>
      <c r="M23" s="101" t="s">
        <v>49</v>
      </c>
      <c r="V23" s="502">
        <v>0.06</v>
      </c>
    </row>
    <row r="24" spans="2:22" ht="12.75">
      <c r="B24" s="99"/>
      <c r="F24" s="99"/>
      <c r="G24" s="99"/>
      <c r="H24" s="99"/>
      <c r="I24" s="99"/>
      <c r="J24" s="99"/>
      <c r="K24" s="99"/>
      <c r="L24" s="493">
        <v>5</v>
      </c>
      <c r="M24" s="101" t="s">
        <v>27</v>
      </c>
      <c r="V24" s="502">
        <v>0.24</v>
      </c>
    </row>
    <row r="25" spans="2:22" ht="12.75">
      <c r="B25" s="497">
        <v>200000</v>
      </c>
      <c r="C25" s="106">
        <f>IF($F$1="X",F25,IF($G$1="X",G25,IF($H$1="X",H25,IF($I$1="X",I25,IF($J$1="X",J25,"")))))</f>
        <v>18922</v>
      </c>
      <c r="D25" s="106">
        <f>IF($F$1="X",G25,IF($G$1="X",H25,IF($H$1="X",I25,IF($I$1="X",J25,IF($J$1="X",K25,"")))))</f>
        <v>22808</v>
      </c>
      <c r="F25" s="497">
        <v>18922</v>
      </c>
      <c r="G25" s="497">
        <v>22808</v>
      </c>
      <c r="H25" s="497">
        <v>27983</v>
      </c>
      <c r="I25" s="497">
        <v>35754</v>
      </c>
      <c r="J25" s="497">
        <v>40929</v>
      </c>
      <c r="K25" s="497">
        <v>44815</v>
      </c>
      <c r="L25" s="493">
        <v>6</v>
      </c>
      <c r="M25" s="101" t="s">
        <v>255</v>
      </c>
      <c r="V25" s="502">
        <v>0.07</v>
      </c>
    </row>
    <row r="26" spans="2:22" ht="12.75">
      <c r="B26" s="99"/>
      <c r="F26" s="99"/>
      <c r="G26" s="99"/>
      <c r="H26" s="99"/>
      <c r="I26" s="99"/>
      <c r="J26" s="99"/>
      <c r="K26" s="99"/>
      <c r="L26" s="493">
        <v>7</v>
      </c>
      <c r="M26" s="101" t="s">
        <v>29</v>
      </c>
      <c r="V26" s="502">
        <v>0.03</v>
      </c>
    </row>
    <row r="27" spans="2:22" ht="12.75">
      <c r="B27" s="497">
        <v>250000</v>
      </c>
      <c r="C27" s="106">
        <f>IF($F$1="X",F27,IF($G$1="X",G27,IF($H$1="X",H27,IF($I$1="X",I27,IF($J$1="X",J27,"")))))</f>
        <v>22149</v>
      </c>
      <c r="D27" s="106">
        <f>IF($F$1="X",G27,IF($G$1="X",H27,IF($H$1="X",I27,IF($I$1="X",J27,IF($J$1="X",K27,"")))))</f>
        <v>26542</v>
      </c>
      <c r="F27" s="497">
        <v>22149</v>
      </c>
      <c r="G27" s="497">
        <v>26542</v>
      </c>
      <c r="H27" s="497">
        <v>32398</v>
      </c>
      <c r="I27" s="497">
        <v>41189</v>
      </c>
      <c r="J27" s="497">
        <v>47045</v>
      </c>
      <c r="K27" s="497">
        <v>51438</v>
      </c>
      <c r="L27" s="493">
        <v>8</v>
      </c>
      <c r="M27" s="101" t="s">
        <v>30</v>
      </c>
      <c r="V27" s="502">
        <v>0.29</v>
      </c>
    </row>
    <row r="28" spans="2:22" ht="12.75">
      <c r="B28" s="99"/>
      <c r="F28" s="99"/>
      <c r="G28" s="99"/>
      <c r="H28" s="99"/>
      <c r="I28" s="99"/>
      <c r="J28" s="99"/>
      <c r="K28" s="99"/>
      <c r="L28" s="493">
        <v>9</v>
      </c>
      <c r="M28" s="101" t="s">
        <v>31</v>
      </c>
      <c r="V28" s="502">
        <v>0.03</v>
      </c>
    </row>
    <row r="29" spans="2:22" ht="12.75">
      <c r="B29" s="497">
        <v>300000</v>
      </c>
      <c r="C29" s="106">
        <f>IF($F$1="X",F29,IF($G$1="X",G29,IF($H$1="X",H29,IF($I$1="X",I29,IF($J$1="X",J29,"")))))</f>
        <v>26410</v>
      </c>
      <c r="D29" s="106">
        <f>IF($F$1="X",G29,IF($G$1="X",H29,IF($H$1="X",I29,IF($I$1="X",J29,IF($J$1="X",K29,"")))))</f>
        <v>31337</v>
      </c>
      <c r="F29" s="497">
        <v>26410</v>
      </c>
      <c r="G29" s="497">
        <v>31337</v>
      </c>
      <c r="H29" s="497">
        <v>37903</v>
      </c>
      <c r="I29" s="497">
        <v>47758</v>
      </c>
      <c r="J29" s="497">
        <v>54323</v>
      </c>
      <c r="K29" s="497">
        <v>59250</v>
      </c>
      <c r="V29" s="496">
        <f>SUM(V20:V28)</f>
        <v>1.0000000000000002</v>
      </c>
    </row>
    <row r="30" spans="2:11" ht="12.75">
      <c r="B30" s="99"/>
      <c r="F30" s="99"/>
      <c r="G30" s="99"/>
      <c r="H30" s="99"/>
      <c r="I30" s="99"/>
      <c r="J30" s="99"/>
      <c r="K30" s="99"/>
    </row>
    <row r="31" spans="2:11" ht="12.75">
      <c r="B31" s="497">
        <v>350000</v>
      </c>
      <c r="C31" s="106">
        <f>IF($F$1="X",F31,IF($G$1="X",G31,IF($H$1="X",H31,IF($I$1="X",I31,IF($J$1="X",J31,"")))))</f>
        <v>30815</v>
      </c>
      <c r="D31" s="106">
        <f>IF($F$1="X",G31,IF($G$1="X",H31,IF($H$1="X",I31,IF($I$1="X",J31,IF($J$1="X",K31,"")))))</f>
        <v>36187</v>
      </c>
      <c r="F31" s="497">
        <v>30815</v>
      </c>
      <c r="G31" s="497">
        <v>36187</v>
      </c>
      <c r="H31" s="497">
        <v>43350</v>
      </c>
      <c r="I31" s="497">
        <v>54095</v>
      </c>
      <c r="J31" s="497">
        <v>61258</v>
      </c>
      <c r="K31" s="497">
        <v>66630</v>
      </c>
    </row>
    <row r="32" spans="2:11" ht="12.75">
      <c r="B32" s="99"/>
      <c r="F32" s="99"/>
      <c r="G32" s="99"/>
      <c r="H32" s="99"/>
      <c r="I32" s="99"/>
      <c r="J32" s="99"/>
      <c r="K32" s="99"/>
    </row>
    <row r="33" spans="2:11" ht="12.75">
      <c r="B33" s="497">
        <v>400000</v>
      </c>
      <c r="C33" s="106">
        <f>IF($F$1="X",F33,IF($G$1="X",G33,IF($H$1="X",H33,IF($I$1="X",I33,IF($J$1="X",J33,"")))))</f>
        <v>35215</v>
      </c>
      <c r="D33" s="106">
        <f>IF($F$1="X",G33,IF($G$1="X",H33,IF($H$1="X",I33,IF($I$1="X",J33,IF($J$1="X",K33,"")))))</f>
        <v>40933</v>
      </c>
      <c r="F33" s="497">
        <v>35215</v>
      </c>
      <c r="G33" s="497">
        <v>40933</v>
      </c>
      <c r="H33" s="497">
        <v>48555</v>
      </c>
      <c r="I33" s="497">
        <v>59991</v>
      </c>
      <c r="J33" s="497">
        <v>67612</v>
      </c>
      <c r="K33" s="497">
        <v>73330</v>
      </c>
    </row>
    <row r="34" spans="2:11" ht="12.75">
      <c r="B34" s="99"/>
      <c r="F34" s="99"/>
      <c r="G34" s="99"/>
      <c r="H34" s="99"/>
      <c r="I34" s="99"/>
      <c r="J34" s="99"/>
      <c r="K34" s="99"/>
    </row>
    <row r="35" spans="2:11" ht="12.75">
      <c r="B35" s="497">
        <v>450000</v>
      </c>
      <c r="C35" s="106">
        <f>IF($F$1="X",F35,IF($G$1="X",G35,IF($H$1="X",H35,IF($I$1="X",I35,IF($J$1="X",J35,"")))))</f>
        <v>39619</v>
      </c>
      <c r="D35" s="106">
        <f>IF($F$1="X",G35,IF($G$1="X",H35,IF($H$1="X",I35,IF($I$1="X",J35,IF($J$1="X",K35,"")))))</f>
        <v>45565</v>
      </c>
      <c r="F35" s="497">
        <v>39619</v>
      </c>
      <c r="G35" s="497">
        <v>45565</v>
      </c>
      <c r="H35" s="497">
        <v>53490</v>
      </c>
      <c r="I35" s="497">
        <v>65337</v>
      </c>
      <c r="J35" s="497">
        <v>73303</v>
      </c>
      <c r="K35" s="497">
        <v>79248</v>
      </c>
    </row>
    <row r="36" spans="2:11" ht="12.75">
      <c r="B36" s="99"/>
      <c r="F36" s="99"/>
      <c r="G36" s="99"/>
      <c r="H36" s="99"/>
      <c r="I36" s="99"/>
      <c r="J36" s="99"/>
      <c r="K36" s="99"/>
    </row>
    <row r="37" spans="2:11" ht="12.75">
      <c r="B37" s="497">
        <v>500000</v>
      </c>
      <c r="C37" s="106">
        <f>IF($F$1="X",F37,IF($G$1="X",G37,IF($H$1="X",H37,IF($I$1="X",I37,IF($J$1="X",J37,"")))))</f>
        <v>44061</v>
      </c>
      <c r="D37" s="106">
        <f>IF($F$1="X",G37,IF($G$1="X",H37,IF($H$1="X",I37,IF($I$1="X",J37,IF($J$1="X",K37,"")))))</f>
        <v>50083</v>
      </c>
      <c r="F37" s="497">
        <v>44061</v>
      </c>
      <c r="G37" s="497">
        <v>50083</v>
      </c>
      <c r="H37" s="497">
        <v>58172</v>
      </c>
      <c r="I37" s="497">
        <v>70309</v>
      </c>
      <c r="J37" s="497">
        <v>78398</v>
      </c>
      <c r="K37" s="497">
        <v>84465</v>
      </c>
    </row>
    <row r="38" spans="2:11" ht="12.75">
      <c r="B38" s="99"/>
      <c r="F38" s="99"/>
      <c r="G38" s="99"/>
      <c r="H38" s="99"/>
      <c r="I38" s="99"/>
      <c r="J38" s="99"/>
      <c r="K38" s="99"/>
    </row>
    <row r="39" spans="2:11" ht="12.75">
      <c r="B39" s="497">
        <v>1000000</v>
      </c>
      <c r="C39" s="106">
        <f>IF($F$1="X",F39,IF($G$1="X",G39,IF($H$1="X",H39,IF($I$1="X",I39,IF($J$1="X",J39,"")))))</f>
        <v>88035</v>
      </c>
      <c r="D39" s="106">
        <f>IF($F$1="X",G39,IF($G$1="X",H39,IF($H$1="X",I39,IF($I$1="X",J39,IF($J$1="X",K39,"")))))</f>
        <v>97296</v>
      </c>
      <c r="F39" s="497">
        <v>88035</v>
      </c>
      <c r="G39" s="497">
        <v>97296</v>
      </c>
      <c r="H39" s="497">
        <v>109643</v>
      </c>
      <c r="I39" s="497">
        <v>128165</v>
      </c>
      <c r="J39" s="497">
        <v>140512</v>
      </c>
      <c r="K39" s="497">
        <v>149773</v>
      </c>
    </row>
    <row r="40" spans="2:11" ht="12.75">
      <c r="B40" s="99"/>
      <c r="F40" s="99"/>
      <c r="G40" s="99"/>
      <c r="H40" s="99"/>
      <c r="I40" s="99"/>
      <c r="J40" s="99"/>
      <c r="K40" s="99"/>
    </row>
    <row r="41" spans="2:11" ht="12.75">
      <c r="B41" s="497">
        <v>1500000</v>
      </c>
      <c r="C41" s="106">
        <f>IF($F$1="X",F41,IF($G$1="X",G41,IF($H$1="X",H41,IF($I$1="X",I41,IF($J$1="X",J41,"")))))</f>
        <v>132050</v>
      </c>
      <c r="D41" s="106">
        <f>IF($F$1="X",G41,IF($G$1="X",H41,IF($H$1="X",I41,IF($I$1="X",J41,IF($J$1="X",K41,"")))))</f>
        <v>145172</v>
      </c>
      <c r="F41" s="497">
        <v>132050</v>
      </c>
      <c r="G41" s="497">
        <v>145172</v>
      </c>
      <c r="H41" s="497">
        <v>162670</v>
      </c>
      <c r="I41" s="497">
        <v>188919</v>
      </c>
      <c r="J41" s="497">
        <v>206416</v>
      </c>
      <c r="K41" s="497">
        <v>219538</v>
      </c>
    </row>
    <row r="42" ht="12.75">
      <c r="B42" s="99"/>
    </row>
    <row r="43" spans="2:11" ht="12.75">
      <c r="B43" s="497">
        <v>1533876</v>
      </c>
      <c r="C43" s="106">
        <f>IF($F$1="X",F43,IF($G$1="X",G43,IF($H$1="X",H43,IF($I$1="X",I43,IF($J$1="X",J43,"")))))</f>
        <v>135032</v>
      </c>
      <c r="D43" s="106">
        <f>IF($F$1="X",G43,IF($G$1="X",H43,IF($H$1="X",I43,IF($I$1="X",J43,IF($J$1="X",K43,"")))))</f>
        <v>148418</v>
      </c>
      <c r="F43" s="497">
        <v>135032</v>
      </c>
      <c r="G43" s="497">
        <v>148418</v>
      </c>
      <c r="H43" s="497">
        <v>166267</v>
      </c>
      <c r="I43" s="497">
        <v>193046</v>
      </c>
      <c r="J43" s="497">
        <v>210893</v>
      </c>
      <c r="K43" s="497">
        <v>224278</v>
      </c>
    </row>
    <row r="44" ht="12.75">
      <c r="B44" s="99"/>
    </row>
    <row r="45" spans="2:11" ht="12.75">
      <c r="B45" s="497"/>
      <c r="C45" s="106"/>
      <c r="D45" s="106"/>
      <c r="F45" s="497"/>
      <c r="G45" s="497"/>
      <c r="H45" s="497"/>
      <c r="I45" s="497"/>
      <c r="J45" s="497"/>
      <c r="K45" s="497"/>
    </row>
    <row r="46" ht="12.75">
      <c r="B46" s="99"/>
    </row>
    <row r="47" spans="2:11" ht="12.75">
      <c r="B47" s="497"/>
      <c r="C47" s="106"/>
      <c r="D47" s="106"/>
      <c r="F47" s="497"/>
      <c r="G47" s="497"/>
      <c r="H47" s="497"/>
      <c r="I47" s="497"/>
      <c r="J47" s="497"/>
      <c r="K47" s="497"/>
    </row>
    <row r="48" ht="12.75">
      <c r="B48" s="99"/>
    </row>
    <row r="49" spans="2:11" ht="12.75">
      <c r="B49" s="497"/>
      <c r="C49" s="106"/>
      <c r="D49" s="106"/>
      <c r="F49" s="497"/>
      <c r="G49" s="497"/>
      <c r="H49" s="497"/>
      <c r="I49" s="497"/>
      <c r="J49" s="497"/>
      <c r="K49" s="497"/>
    </row>
    <row r="50" ht="12.75">
      <c r="B50" s="99"/>
    </row>
    <row r="51" spans="2:11" ht="12.75">
      <c r="B51" s="497"/>
      <c r="C51" s="106"/>
      <c r="D51" s="106"/>
      <c r="F51" s="497"/>
      <c r="G51" s="497"/>
      <c r="H51" s="497"/>
      <c r="I51" s="497"/>
      <c r="J51" s="497"/>
      <c r="K51" s="497"/>
    </row>
    <row r="52" ht="12.75">
      <c r="B52" s="99"/>
    </row>
    <row r="53" spans="2:11" ht="12.75">
      <c r="B53" s="497"/>
      <c r="C53" s="106"/>
      <c r="D53" s="106"/>
      <c r="F53" s="497"/>
      <c r="G53" s="497"/>
      <c r="H53" s="497"/>
      <c r="I53" s="497"/>
      <c r="J53" s="497"/>
      <c r="K53" s="497"/>
    </row>
    <row r="54" ht="12.75">
      <c r="B54" s="99"/>
    </row>
    <row r="55" spans="2:11" ht="12.75">
      <c r="B55" s="497"/>
      <c r="C55" s="106"/>
      <c r="D55" s="106"/>
      <c r="F55" s="497"/>
      <c r="G55" s="497"/>
      <c r="H55" s="497"/>
      <c r="I55" s="497"/>
      <c r="J55" s="497"/>
      <c r="K55" s="497"/>
    </row>
    <row r="56" ht="12.75">
      <c r="B56" s="99"/>
    </row>
    <row r="57" spans="2:11" ht="12.75">
      <c r="B57" s="497"/>
      <c r="C57" s="106"/>
      <c r="D57" s="106"/>
      <c r="F57" s="497"/>
      <c r="G57" s="497"/>
      <c r="H57" s="497"/>
      <c r="I57" s="497"/>
      <c r="J57" s="497"/>
      <c r="K57" s="497"/>
    </row>
    <row r="58" ht="12.75">
      <c r="B58" s="99"/>
    </row>
    <row r="59" spans="2:11" ht="12.75">
      <c r="B59" s="497"/>
      <c r="C59" s="106"/>
      <c r="D59" s="106"/>
      <c r="F59" s="497"/>
      <c r="G59" s="497"/>
      <c r="H59" s="497"/>
      <c r="I59" s="497"/>
      <c r="J59" s="497"/>
      <c r="K59" s="497"/>
    </row>
    <row r="60" ht="12.75">
      <c r="B60" s="99"/>
    </row>
    <row r="61" spans="2:11" ht="12.75">
      <c r="B61" s="497"/>
      <c r="C61" s="106"/>
      <c r="D61" s="106"/>
      <c r="F61" s="497"/>
      <c r="G61" s="497"/>
      <c r="H61" s="497"/>
      <c r="I61" s="497"/>
      <c r="J61" s="497"/>
      <c r="K61" s="497"/>
    </row>
    <row r="62" ht="12.75">
      <c r="B62" s="99"/>
    </row>
    <row r="63" spans="2:11" ht="12.75">
      <c r="B63" s="497"/>
      <c r="C63" s="106"/>
      <c r="D63" s="106"/>
      <c r="F63" s="497"/>
      <c r="G63" s="497"/>
      <c r="H63" s="497"/>
      <c r="I63" s="497"/>
      <c r="J63" s="497"/>
      <c r="K63" s="497"/>
    </row>
    <row r="64" ht="12.75">
      <c r="B64" s="99"/>
    </row>
    <row r="65" spans="2:11" ht="12.75">
      <c r="B65" s="497"/>
      <c r="C65" s="106"/>
      <c r="D65" s="106"/>
      <c r="F65" s="497"/>
      <c r="G65" s="497"/>
      <c r="H65" s="497"/>
      <c r="I65" s="497"/>
      <c r="J65" s="497"/>
      <c r="K65" s="497"/>
    </row>
  </sheetData>
  <sheetProtection password="CBC6" sheet="1" objects="1" scenarios="1"/>
  <mergeCells count="5">
    <mergeCell ref="P8:P12"/>
    <mergeCell ref="T8:T12"/>
    <mergeCell ref="Q8:Q12"/>
    <mergeCell ref="R8:R12"/>
    <mergeCell ref="S8:S1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1"/>
  <sheetViews>
    <sheetView showZeros="0" workbookViewId="0" topLeftCell="A1">
      <selection activeCell="A1" sqref="A1"/>
    </sheetView>
  </sheetViews>
  <sheetFormatPr defaultColWidth="11.421875" defaultRowHeight="10.5" customHeight="1"/>
  <cols>
    <col min="1" max="4" width="3.7109375" style="99" customWidth="1"/>
    <col min="5" max="5" width="12.28125" style="99" customWidth="1"/>
    <col min="6" max="6" width="4.00390625" style="100" customWidth="1"/>
    <col min="7" max="11" width="10.28125" style="99" customWidth="1"/>
    <col min="12" max="12" width="10.28125" style="101" customWidth="1"/>
    <col min="13" max="15" width="10.28125" style="99" customWidth="1"/>
    <col min="16" max="16" width="10.28125" style="101" customWidth="1"/>
    <col min="17" max="24" width="10.28125" style="99" customWidth="1"/>
    <col min="25" max="16384" width="11.421875" style="99" customWidth="1"/>
  </cols>
  <sheetData>
    <row r="1" spans="1:24" ht="12.75">
      <c r="A1" s="2"/>
      <c r="D1" s="475" t="s">
        <v>258</v>
      </c>
      <c r="E1" s="476">
        <f>IF(STAMMDATEN!$B$23="",1.95583,STAMMDATEN!$B$23)</f>
        <v>1.95583</v>
      </c>
      <c r="F1" s="464" t="str">
        <f>IF(STAMMDATEN!A21="X","X","")</f>
        <v>X</v>
      </c>
      <c r="G1" s="99" t="s">
        <v>130</v>
      </c>
      <c r="I1" s="216">
        <f>IF($G4="","",ROUND(I4+(($G4-K4)*(J4-I4)/(L4-K4)),0))</f>
      </c>
      <c r="M1" s="216">
        <f>IF($G7="","",ROUND(M7+(($G7-O7)*(N7-M7)/(P7-O7)),0))</f>
      </c>
      <c r="Q1" s="216">
        <f>IF($G10="","",ROUND(Q10+(($G10-S10)*(R10-Q10)/(T10-S10)),0))</f>
      </c>
      <c r="U1" s="216">
        <f>IF($G13="","",ROUND(U13+(($G13-W13)*(V13-U13)/(X13-W13)),0))</f>
      </c>
      <c r="X1" s="102"/>
    </row>
    <row r="2" spans="1:24" ht="19.5">
      <c r="A2" s="103" t="s">
        <v>84</v>
      </c>
      <c r="F2" s="464">
        <f>IF(STAMMDATEN!A22="X","X","")</f>
      </c>
      <c r="G2" s="99" t="s">
        <v>236</v>
      </c>
      <c r="I2" s="100" t="s">
        <v>85</v>
      </c>
      <c r="J2" s="100" t="s">
        <v>101</v>
      </c>
      <c r="K2" s="100" t="s">
        <v>85</v>
      </c>
      <c r="L2" s="100" t="s">
        <v>101</v>
      </c>
      <c r="M2" s="100" t="s">
        <v>85</v>
      </c>
      <c r="N2" s="100" t="s">
        <v>101</v>
      </c>
      <c r="O2" s="100" t="s">
        <v>85</v>
      </c>
      <c r="P2" s="100" t="s">
        <v>101</v>
      </c>
      <c r="Q2" s="100" t="s">
        <v>85</v>
      </c>
      <c r="R2" s="100" t="s">
        <v>101</v>
      </c>
      <c r="S2" s="100" t="s">
        <v>85</v>
      </c>
      <c r="T2" s="100" t="s">
        <v>101</v>
      </c>
      <c r="U2" s="100" t="s">
        <v>85</v>
      </c>
      <c r="V2" s="100" t="s">
        <v>101</v>
      </c>
      <c r="W2" s="100" t="s">
        <v>85</v>
      </c>
      <c r="X2" s="100" t="s">
        <v>101</v>
      </c>
    </row>
    <row r="3" spans="1:24" ht="10.5" customHeight="1">
      <c r="A3" s="104"/>
      <c r="B3" s="105" t="s">
        <v>73</v>
      </c>
      <c r="C3" s="106"/>
      <c r="D3" s="106"/>
      <c r="E3" s="106"/>
      <c r="F3" s="107"/>
      <c r="G3" s="100" t="s">
        <v>161</v>
      </c>
      <c r="I3" s="100" t="s">
        <v>92</v>
      </c>
      <c r="J3" s="100" t="s">
        <v>92</v>
      </c>
      <c r="K3" s="100" t="s">
        <v>86</v>
      </c>
      <c r="L3" s="100" t="s">
        <v>86</v>
      </c>
      <c r="M3" s="100" t="s">
        <v>92</v>
      </c>
      <c r="N3" s="100" t="s">
        <v>92</v>
      </c>
      <c r="O3" s="100" t="s">
        <v>86</v>
      </c>
      <c r="P3" s="100" t="s">
        <v>86</v>
      </c>
      <c r="Q3" s="100" t="s">
        <v>92</v>
      </c>
      <c r="R3" s="100" t="s">
        <v>92</v>
      </c>
      <c r="S3" s="100" t="s">
        <v>86</v>
      </c>
      <c r="T3" s="100" t="s">
        <v>86</v>
      </c>
      <c r="U3" s="100" t="s">
        <v>92</v>
      </c>
      <c r="V3" s="100" t="s">
        <v>92</v>
      </c>
      <c r="W3" s="100" t="s">
        <v>86</v>
      </c>
      <c r="X3" s="100" t="s">
        <v>86</v>
      </c>
    </row>
    <row r="4" spans="1:12" ht="10.5" customHeight="1">
      <c r="A4" s="104" t="s">
        <v>0</v>
      </c>
      <c r="B4" s="549" t="s">
        <v>324</v>
      </c>
      <c r="C4" s="106"/>
      <c r="D4" s="106"/>
      <c r="E4" s="477">
        <f>IF(G4="","",IF($F$1="X",I$1,IF($F$2="X",SUM(I$1*$E$1),"")))</f>
      </c>
      <c r="F4" s="107"/>
      <c r="G4" s="108">
        <f>IF(STAMMDATEN!$B$38="","",IF($F$2="X",STAMMDATEN!$B$38/$E$1,STAMMDATEN!$B$38))</f>
      </c>
      <c r="I4" s="106">
        <f>MAX(I18:I78)</f>
        <v>0</v>
      </c>
      <c r="J4" s="106">
        <f>MAX(J18:J78)</f>
        <v>0</v>
      </c>
      <c r="K4" s="106">
        <f>MAX(K18:K78)</f>
        <v>0</v>
      </c>
      <c r="L4" s="106">
        <f>MAX(L18:L78)</f>
        <v>0</v>
      </c>
    </row>
    <row r="5" spans="1:12" ht="10.5" customHeight="1">
      <c r="A5" s="104"/>
      <c r="B5" s="105"/>
      <c r="C5" s="106"/>
      <c r="D5" s="106"/>
      <c r="E5" s="106"/>
      <c r="F5" s="107"/>
      <c r="G5" s="471" t="s">
        <v>1</v>
      </c>
      <c r="I5" s="471" t="s">
        <v>3</v>
      </c>
      <c r="J5" s="471" t="s">
        <v>5</v>
      </c>
      <c r="K5" s="471" t="s">
        <v>2</v>
      </c>
      <c r="L5" s="471" t="s">
        <v>4</v>
      </c>
    </row>
    <row r="6" spans="1:12" ht="10.5" customHeight="1">
      <c r="A6" s="106"/>
      <c r="B6" s="109"/>
      <c r="C6" s="110" t="s">
        <v>74</v>
      </c>
      <c r="D6" s="106"/>
      <c r="E6" s="106"/>
      <c r="F6" s="107"/>
      <c r="H6" s="432" t="s">
        <v>89</v>
      </c>
      <c r="I6" s="432">
        <f>IF($F$14="X",'Tafel § 16'!N14,IF($F$16="X",'Tafel § 17'!N14,""))</f>
        <v>0</v>
      </c>
      <c r="J6" s="432">
        <f>IF($F$14="X",'Tafel § 16'!O14,IF($F$16="X",'Tafel § 17'!O14,""))</f>
        <v>10</v>
      </c>
      <c r="K6" s="100"/>
      <c r="L6" s="100"/>
    </row>
    <row r="7" spans="1:16" ht="10.5" customHeight="1">
      <c r="A7" s="106"/>
      <c r="B7" s="109" t="s">
        <v>6</v>
      </c>
      <c r="C7" s="106"/>
      <c r="D7" s="106"/>
      <c r="E7" s="478">
        <f>IF(G7="","",IF($F$1="X",M$1,IF($F$2="X",SUM(M$1*$E$1),"")))</f>
      </c>
      <c r="F7" s="107"/>
      <c r="G7" s="108">
        <f>IF(STAMMDATEN!$B$44="","",IF($F$2="X",STAMMDATEN!$B$44/$E$1,STAMMDATEN!$B$44))</f>
      </c>
      <c r="H7" s="466" t="str">
        <f>IF(STAMMDATEN!C15="X","X","")</f>
        <v>X</v>
      </c>
      <c r="I7" s="467" t="s">
        <v>9</v>
      </c>
      <c r="J7" s="106">
        <f>IF($F$14="X",'Tafel § 16'!$P$14,IF($F$16="X",'Tafel § 17'!$P$14,""))</f>
        <v>0</v>
      </c>
      <c r="K7" s="100"/>
      <c r="L7" s="100"/>
      <c r="M7" s="106">
        <f>MAX(M18:M78)</f>
        <v>0</v>
      </c>
      <c r="N7" s="106">
        <f>MAX(N18:N78)</f>
        <v>0</v>
      </c>
      <c r="O7" s="106">
        <f>MAX(O18:O78)</f>
        <v>0</v>
      </c>
      <c r="P7" s="106">
        <f>MAX(P18:P78)</f>
        <v>0</v>
      </c>
    </row>
    <row r="8" spans="1:12" ht="10.5" customHeight="1">
      <c r="A8" s="106"/>
      <c r="B8" s="111"/>
      <c r="C8" s="110"/>
      <c r="D8" s="106"/>
      <c r="E8" s="106"/>
      <c r="F8" s="107"/>
      <c r="H8" s="466">
        <f>IF(STAMMDATEN!C16="X","X","")</f>
      </c>
      <c r="I8" s="467" t="s">
        <v>11</v>
      </c>
      <c r="J8" s="106">
        <f>IF($F$14="X",'Tafel § 16'!$Q$14,IF($F$16="X",'Tafel § 17'!$Q$14,""))</f>
        <v>2.5</v>
      </c>
      <c r="K8" s="504" t="s">
        <v>259</v>
      </c>
      <c r="L8" s="503"/>
    </row>
    <row r="9" spans="1:12" ht="10.5" customHeight="1">
      <c r="A9" s="106"/>
      <c r="B9" s="106"/>
      <c r="C9" s="112"/>
      <c r="D9" s="113" t="s">
        <v>75</v>
      </c>
      <c r="E9" s="106"/>
      <c r="F9" s="107"/>
      <c r="H9" s="466">
        <f>IF(STAMMDATEN!C17="X","X","")</f>
      </c>
      <c r="I9" s="467" t="s">
        <v>13</v>
      </c>
      <c r="J9" s="106">
        <f>IF($F$14="X",'Tafel § 16'!$R$14,IF($F$16="X",'Tafel § 17'!$R$14,""))</f>
        <v>5</v>
      </c>
      <c r="K9" s="504" t="s">
        <v>260</v>
      </c>
      <c r="L9" s="503"/>
    </row>
    <row r="10" spans="1:20" ht="10.5" customHeight="1">
      <c r="A10" s="106"/>
      <c r="B10" s="106"/>
      <c r="C10" s="112" t="s">
        <v>67</v>
      </c>
      <c r="D10" s="106"/>
      <c r="E10" s="479">
        <f>IF(G10="","",IF($F$1="X",Q$1,IF($F$2="X",SUM(Q$1*$E$1),"")))</f>
      </c>
      <c r="F10" s="107"/>
      <c r="G10" s="108">
        <f>IF(STAMMDATEN!$B$50="","",IF($F$2="X",STAMMDATEN!$B$50/$E$1,STAMMDATEN!$B$50))</f>
      </c>
      <c r="H10" s="466">
        <f>IF(STAMMDATEN!C18="X","X","")</f>
      </c>
      <c r="I10" s="467" t="s">
        <v>15</v>
      </c>
      <c r="J10" s="106">
        <f>IF($F$14="X",'Tafel § 16'!$S$14,IF($F$16="X",'Tafel § 17'!$S$14,""))</f>
        <v>7.5</v>
      </c>
      <c r="K10" s="504" t="s">
        <v>261</v>
      </c>
      <c r="L10" s="503"/>
      <c r="Q10" s="106">
        <f>MAX(Q18:Q78)</f>
        <v>0</v>
      </c>
      <c r="R10" s="106">
        <f>MAX(R18:R78)</f>
        <v>0</v>
      </c>
      <c r="S10" s="106">
        <f>MAX(S18:S78)</f>
        <v>0</v>
      </c>
      <c r="T10" s="106">
        <f>MAX(T18:T78)</f>
        <v>0</v>
      </c>
    </row>
    <row r="11" spans="1:12" ht="10.5" customHeight="1">
      <c r="A11" s="106"/>
      <c r="B11" s="106"/>
      <c r="C11" s="114"/>
      <c r="D11" s="113"/>
      <c r="E11" s="106"/>
      <c r="F11" s="107"/>
      <c r="H11" s="466">
        <f>IF(STAMMDATEN!C19="X","X","")</f>
      </c>
      <c r="I11" s="469" t="s">
        <v>17</v>
      </c>
      <c r="J11" s="470">
        <f>IF($F$14="X",'Tafel § 16'!$T$14,IF($F$16="X",'Tafel § 17'!$T$14,""))</f>
        <v>10</v>
      </c>
      <c r="K11" s="504" t="s">
        <v>262</v>
      </c>
      <c r="L11" s="503"/>
    </row>
    <row r="12" spans="1:12" ht="10.5" customHeight="1">
      <c r="A12" s="106"/>
      <c r="B12" s="106"/>
      <c r="C12" s="106"/>
      <c r="D12" s="115"/>
      <c r="E12" s="116" t="s">
        <v>76</v>
      </c>
      <c r="F12" s="107"/>
      <c r="H12" s="468"/>
      <c r="I12" s="468" t="s">
        <v>90</v>
      </c>
      <c r="J12" s="106">
        <f>IF(H7="X",SUM($I$6+J7),IF(H8="X",SUM($I$6+J8),IF(H9="X",SUM($I$6+J9),IF(H10="X",SUM($I$6+J10),IF(H11="X",SUM($I$6+J11),"")))))</f>
        <v>0</v>
      </c>
      <c r="K12" s="504" t="s">
        <v>263</v>
      </c>
      <c r="L12" s="503"/>
    </row>
    <row r="13" spans="1:24" ht="10.5" customHeight="1">
      <c r="A13" s="106"/>
      <c r="B13" s="106"/>
      <c r="C13" s="106"/>
      <c r="D13" s="115" t="s">
        <v>65</v>
      </c>
      <c r="E13" s="480">
        <f>IF(G13="","",IF($F$1="X",U$1,IF($F$2="X",SUM(U$1*$E$1),"")))</f>
      </c>
      <c r="F13" s="107"/>
      <c r="G13" s="108">
        <f>IF(STAMMDATEN!$B$56="","",IF($F$2="X",STAMMDATEN!$B$56/$E$1,STAMMDATEN!$B$56))</f>
      </c>
      <c r="H13" s="106"/>
      <c r="I13" s="107"/>
      <c r="J13" s="107"/>
      <c r="K13" s="504" t="s">
        <v>264</v>
      </c>
      <c r="L13" s="503"/>
      <c r="M13" s="100"/>
      <c r="N13" s="100"/>
      <c r="U13" s="106">
        <f>MAX(U18:U78)</f>
        <v>0</v>
      </c>
      <c r="V13" s="106">
        <f>MAX(V18:V78)</f>
        <v>0</v>
      </c>
      <c r="W13" s="106">
        <f>MAX(W18:W78)</f>
        <v>0</v>
      </c>
      <c r="X13" s="106">
        <f>MAX(X18:X78)</f>
        <v>0</v>
      </c>
    </row>
    <row r="14" spans="1:12" ht="10.5" customHeight="1">
      <c r="A14" s="106"/>
      <c r="B14" s="462" t="s">
        <v>246</v>
      </c>
      <c r="C14" s="463">
        <v>16</v>
      </c>
      <c r="D14" s="9" t="str">
        <f>STAMMDATEN!B28</f>
        <v>Gebäude</v>
      </c>
      <c r="E14" s="9"/>
      <c r="F14" s="464" t="str">
        <f>IF(STAMMDATEN!A28="X","X",IF(STAMMDATEN!A29="X","X",""))</f>
        <v>X</v>
      </c>
      <c r="G14" s="100"/>
      <c r="H14" s="100"/>
      <c r="I14" s="100"/>
      <c r="J14" s="100"/>
      <c r="K14" s="100"/>
      <c r="L14" s="100"/>
    </row>
    <row r="15" spans="1:8" ht="10.5" customHeight="1">
      <c r="A15" s="106"/>
      <c r="B15" s="462" t="s">
        <v>246</v>
      </c>
      <c r="C15" s="463">
        <v>16</v>
      </c>
      <c r="D15" s="13" t="str">
        <f>STAMMDATEN!B29</f>
        <v>raumbildende Ausbauten</v>
      </c>
      <c r="E15" s="13"/>
      <c r="F15" s="13"/>
      <c r="H15" s="100"/>
    </row>
    <row r="16" spans="1:24" ht="10.5" customHeight="1">
      <c r="A16" s="106"/>
      <c r="B16" s="462" t="s">
        <v>246</v>
      </c>
      <c r="C16" s="463">
        <v>17</v>
      </c>
      <c r="D16" s="15" t="str">
        <f>STAMMDATEN!B30</f>
        <v>Freianlagen</v>
      </c>
      <c r="E16" s="15"/>
      <c r="F16" s="464">
        <f>IF(STAMMDATEN!A30="X","X","")</f>
      </c>
      <c r="G16" s="106"/>
      <c r="H16" s="107"/>
      <c r="I16" s="117" t="s">
        <v>0</v>
      </c>
      <c r="J16" s="118"/>
      <c r="K16" s="104"/>
      <c r="L16" s="104"/>
      <c r="M16" s="109" t="s">
        <v>6</v>
      </c>
      <c r="N16" s="109"/>
      <c r="O16" s="111"/>
      <c r="P16" s="111"/>
      <c r="Q16" s="114" t="s">
        <v>67</v>
      </c>
      <c r="R16" s="114"/>
      <c r="S16" s="114"/>
      <c r="T16" s="114"/>
      <c r="U16" s="119" t="s">
        <v>65</v>
      </c>
      <c r="V16" s="119"/>
      <c r="W16" s="119"/>
      <c r="X16" s="119"/>
    </row>
    <row r="17" spans="6:16" ht="10.5" customHeight="1">
      <c r="F17" s="99"/>
      <c r="G17" s="100" t="s">
        <v>82</v>
      </c>
      <c r="H17" s="100" t="s">
        <v>83</v>
      </c>
      <c r="L17" s="99"/>
      <c r="P17" s="99"/>
    </row>
    <row r="18" spans="1:24" ht="10.5" customHeight="1">
      <c r="A18" s="106">
        <f>IF($G$4="","",IF($G$4=E18,"X",""))</f>
      </c>
      <c r="B18" s="106">
        <f>IF($G$7="","",IF($G$7=E18,"X",""))</f>
      </c>
      <c r="C18" s="106">
        <f>IF($G$10="","",IF($G$10=E18,"X",""))</f>
      </c>
      <c r="D18" s="106">
        <f>IF($G$13="","",IF($G$13=E18,"X",""))</f>
      </c>
      <c r="E18" s="106">
        <f>IF($F$14="X",'Tafel § 16'!B5,IF($F$15="X",'Tafel § 16'!B5,IF($F$16="X",'Tafel § 17'!B5,"")))</f>
        <v>500</v>
      </c>
      <c r="F18" s="106"/>
      <c r="G18" s="106">
        <f>IF($F$14="X",'Tafel § 16'!C5,IF($F$15="X",'Tafel § 16'!C5,IF($F$16="X",'Tafel § 17'!C5,"")))</f>
        <v>38.8</v>
      </c>
      <c r="H18" s="106">
        <f>IF($F$14="X",'Tafel § 16'!D5,IF($F$15="X",'Tafel § 16'!D5,IF($F$16="X",'Tafel § 17'!D5,"")))</f>
        <v>47.19</v>
      </c>
      <c r="I18" s="106">
        <f>IF($A18="X",ROUND($G18+($H18-$G18)*(($J$12-$I$6)/($J$6-$I$6)),0),"")</f>
      </c>
      <c r="J18" s="106">
        <f>IF($A18="X",ROUND($G18+($H18-$G18)*(($J$12-$I$6)/($J$6-$I$6)),0),"")</f>
      </c>
      <c r="K18" s="106">
        <f>IF($A18="X",$E18,"")</f>
      </c>
      <c r="L18" s="106">
        <f>IF($A18="X",$E20,"")</f>
      </c>
      <c r="M18" s="106">
        <f>IF($B18="X",ROUND($G18+($H18-$G18)*(($J$12-$I$6)/($J$6-$I$6)),0),"")</f>
      </c>
      <c r="N18" s="106">
        <f>IF($B18="X",ROUND($G18+($H18-$G18)*(($J$12-$I$6)/($J$6-$I$6)),0),"")</f>
      </c>
      <c r="O18" s="106">
        <f>IF($B18="X",$E18,"")</f>
      </c>
      <c r="P18" s="106">
        <f>IF($B18="X",$E20,"")</f>
      </c>
      <c r="Q18" s="106">
        <f>IF($C18="X",ROUND($G18+($H18-$G18)*(($J$12-$I$6)/($J$6-$I$6)),0),"")</f>
      </c>
      <c r="R18" s="106">
        <f>IF($C18="X",ROUND($G18+($H18-$G18)*(($J$12-$I$6)/($J$6-$I$6)),0),"")</f>
      </c>
      <c r="S18" s="106">
        <f>IF($C18="X",$E18,"")</f>
      </c>
      <c r="T18" s="106">
        <f>IF($C18="X",$E20,"")</f>
      </c>
      <c r="U18" s="106">
        <f>IF($D18="X",ROUND($G18+($H18-$G18)*(($J$12-$I$6)/($J$6-$I$6)),0),"")</f>
      </c>
      <c r="V18" s="106">
        <f>IF($D18="X",ROUND($G18+($H18-$G18)*(($J$12-$I$6)/($J$6-$I$6)),0),"")</f>
      </c>
      <c r="W18" s="106">
        <f>IF($D18="X",$E18,"")</f>
      </c>
      <c r="X18" s="106">
        <f>IF($D18="X",$E20,"")</f>
      </c>
    </row>
    <row r="19" spans="1:24" ht="10.5" customHeight="1">
      <c r="A19" s="99">
        <f>IF($G$4=$E18,"",IF($G$4=$E20,"",IF($G$4&gt;=$E18,IF($G$4&lt;=$E20,"X",""),"")))</f>
      </c>
      <c r="B19" s="99">
        <f>IF($G$7=$E18,"",IF($G$7=$E20,"",IF($G$7&gt;=$E18,IF($G$7&lt;=$E20,"X",""),"")))</f>
      </c>
      <c r="C19" s="99">
        <f>IF($G$10=$E18,"",IF($G$10=$E20,"",IF($G$10&gt;=$E18,IF($G$10&lt;=$E20,"X",""),"")))</f>
      </c>
      <c r="D19" s="99">
        <f>IF($G$13=$E18,"",IF($G$13=$E20,"",IF($G$13&gt;=$E18,IF($G$13&lt;=$E20,"X",""),"")))</f>
      </c>
      <c r="F19" s="99"/>
      <c r="G19" s="100"/>
      <c r="H19" s="100"/>
      <c r="I19" s="120">
        <f>IF($A19="X",ROUND($G18+($H18-$G18)*(($J$12-$I$6)/($J$6-$I$6)),0),"")</f>
      </c>
      <c r="J19" s="120">
        <f>IF($A19="X",ROUND($G20+($H20-$G20)*(($J$12-$I$6)/($J$6-$I$6)),0),"")</f>
      </c>
      <c r="K19" s="120">
        <f>IF($A19="X",$E18,"")</f>
      </c>
      <c r="L19" s="120">
        <f>IF($A19="X",$E20,"")</f>
      </c>
      <c r="M19" s="120">
        <f>IF($B19="X",ROUND($G18+($H18-$G18)*(($J$12-$I$6)/($J$6-$I$6)),0),"")</f>
      </c>
      <c r="N19" s="120">
        <f>IF($B19="X",ROUND($G20+($H20-$G20)*(($J$12-$I$6)/($J$6-$I$6)),0),"")</f>
      </c>
      <c r="O19" s="120">
        <f>IF($B19="X",$E18,"")</f>
      </c>
      <c r="P19" s="120">
        <f>IF($B19="X",$E20,"")</f>
      </c>
      <c r="Q19" s="120">
        <f>IF($C19="X",ROUND($G18+($H18-$G18)*(($J$12-$I$6)/($J$6-$I$6)),0),"")</f>
      </c>
      <c r="R19" s="120">
        <f>IF($C19="X",ROUND($G20+($H20-$G20)*(($J$12-$I$6)/($J$6-$I$6)),0),"")</f>
      </c>
      <c r="S19" s="120">
        <f>IF($C19="X",$E18,"")</f>
      </c>
      <c r="T19" s="120">
        <f>IF($C19="X",$E20,"")</f>
      </c>
      <c r="U19" s="120">
        <f>IF($D19="X",ROUND($G18+($H18-$G18)*(($J$12-$I$6)/($J$6-$I$6)),0),"")</f>
      </c>
      <c r="V19" s="120">
        <f>IF($D19="X",ROUND($G20+($H20-$G20)*(($J$12-$I$6)/($J$6-$I$6)),0),"")</f>
      </c>
      <c r="W19" s="120">
        <f>IF($D19="X",$E18,"")</f>
      </c>
      <c r="X19" s="120">
        <f>IF($D19="X",$E20,"")</f>
      </c>
    </row>
    <row r="20" spans="1:24" ht="10.5" customHeight="1">
      <c r="A20" s="106">
        <f>IF($G$4="","",IF($G$4=E20,"X",""))</f>
      </c>
      <c r="B20" s="106">
        <f>IF($G$7="","",IF($G$7=E20,"X",""))</f>
      </c>
      <c r="C20" s="106">
        <f>IF($G$10="","",IF($G$10=E20,"X",""))</f>
      </c>
      <c r="D20" s="106">
        <f>IF($G$13="","",IF($G$13=E20,"X",""))</f>
      </c>
      <c r="E20" s="106">
        <f>IF($F$14="X",'Tafel § 16'!B7,IF($F$15="X",'Tafel § 16'!B7,IF($F$16="X",'Tafel § 17'!B7,"")))</f>
        <v>20452</v>
      </c>
      <c r="F20" s="106"/>
      <c r="G20" s="106">
        <f>IF($F$14="X",'Tafel § 16'!C7,IF($F$15="X",'Tafel § 16'!C7,IF($F$16="X",'Tafel § 17'!C7,"")))</f>
        <v>1587.2</v>
      </c>
      <c r="H20" s="106">
        <f>IF($F$14="X",'Tafel § 16'!D7,IF($F$15="X",'Tafel § 16'!D7,IF($F$16="X",'Tafel § 17'!D7,"")))</f>
        <v>1930.4</v>
      </c>
      <c r="I20" s="106">
        <f>IF($A20="X",ROUND($G20+($H20-$G20)*(($J$12-$I$6)/($J$6-$I$6)),0),"")</f>
      </c>
      <c r="J20" s="106">
        <f>IF($A20="X",ROUND($G20+($H20-$G20)*(($J$12-$I$6)/($J$6-$I$6)),0),"")</f>
      </c>
      <c r="K20" s="106">
        <f>IF($A20="X",$E20,"")</f>
      </c>
      <c r="L20" s="106">
        <f>IF($A20="X",$E22,"")</f>
      </c>
      <c r="M20" s="106">
        <f>IF($B20="X",ROUND($G20+($H20-$G20)*(($J$12-$I$6)/($J$6-$I$6)),0),"")</f>
      </c>
      <c r="N20" s="106">
        <f>IF($B20="X",ROUND($G20+($H20-$G20)*(($J$12-$I$6)/($J$6-$I$6)),0),"")</f>
      </c>
      <c r="O20" s="106">
        <f>IF($B20="X",$E20,"")</f>
      </c>
      <c r="P20" s="106">
        <f>IF($B20="X",$E22,"")</f>
      </c>
      <c r="Q20" s="106">
        <f>IF($C20="X",ROUND($G20+($H20-$G20)*(($J$12-$I$6)/($J$6-$I$6)),0),"")</f>
      </c>
      <c r="R20" s="106">
        <f>IF($C20="X",ROUND($G20+($H20-$G20)*(($J$12-$I$6)/($J$6-$I$6)),0),"")</f>
      </c>
      <c r="S20" s="106">
        <f>IF($C20="X",$E20,"")</f>
      </c>
      <c r="T20" s="106">
        <f>IF($C20="X",$E22,"")</f>
      </c>
      <c r="U20" s="106">
        <f>IF($D20="X",ROUND($G20+($H20-$G20)*(($J$12-$I$6)/($J$6-$I$6)),0),"")</f>
      </c>
      <c r="V20" s="106">
        <f>IF($D20="X",ROUND($G20+($H20-$G20)*(($J$12-$I$6)/($J$6-$I$6)),0),"")</f>
      </c>
      <c r="W20" s="106">
        <f>IF($D20="X",$E20,"")</f>
      </c>
      <c r="X20" s="106">
        <f>IF($D20="X",$E22,"")</f>
      </c>
    </row>
    <row r="21" spans="1:24" ht="10.5" customHeight="1">
      <c r="A21" s="99">
        <f>IF($G$4=$E20,"",IF($G$4=$E22,"",IF($G$4&gt;=$E20,IF($G$4&lt;=$E22,"X",""),"")))</f>
      </c>
      <c r="B21" s="99">
        <f>IF($G$7=$E20,"",IF($G$7=$E22,"",IF($G$7&gt;=$E20,IF($G$7&lt;=$E22,"X",""),"")))</f>
      </c>
      <c r="C21" s="99">
        <f>IF($G$10=$E20,"",IF($G$10=$E22,"",IF($G$10&gt;=$E20,IF($G$10&lt;=$E22,"X",""),"")))</f>
      </c>
      <c r="D21" s="99">
        <f>IF($G$13=$E20,"",IF($G$13=$E22,"",IF($G$13&gt;=$E20,IF($G$13&lt;=$E22,"X",""),"")))</f>
      </c>
      <c r="I21" s="120">
        <f>IF($A21="X",ROUND($G20+($H20-$G20)*(($J$12-$I$6)/($J$6-$I$6)),0),"")</f>
      </c>
      <c r="J21" s="120">
        <f>IF($A21="X",ROUND($G22+($H22-$G22)*(($J$12-$I$6)/($J$6-$I$6)),0),"")</f>
      </c>
      <c r="K21" s="120">
        <f>IF($A21="X",$E20,"")</f>
      </c>
      <c r="L21" s="120">
        <f>IF($A21="X",$E22,"")</f>
      </c>
      <c r="M21" s="120">
        <f>IF($B21="X",ROUND($G20+($H20-$G20)*(($J$12-$I$6)/($J$6-$I$6)),0),"")</f>
      </c>
      <c r="N21" s="120">
        <f>IF($B21="X",ROUND($G22+($H22-$G22)*(($J$12-$I$6)/($J$6-$I$6)),0),"")</f>
      </c>
      <c r="O21" s="120">
        <f>IF($B21="X",$E20,"")</f>
      </c>
      <c r="P21" s="120">
        <f>IF($B21="X",$E22,"")</f>
      </c>
      <c r="Q21" s="120">
        <f>IF($C21="X",ROUND($G20+($H20-$G20)*(($J$12-$I$6)/($J$6-$I$6)),0),"")</f>
      </c>
      <c r="R21" s="120">
        <f>IF($C21="X",ROUND($G22+($H22-$G22)*(($J$12-$I$6)/($J$6-$I$6)),0),"")</f>
      </c>
      <c r="S21" s="120">
        <f>IF($C21="X",$E20,"")</f>
      </c>
      <c r="T21" s="120">
        <f>IF($C21="X",$E22,"")</f>
      </c>
      <c r="U21" s="120">
        <f>IF($D21="X",ROUND($G20+($H20-$G20)*(($J$12-$I$6)/($J$6-$I$6)),0),"")</f>
      </c>
      <c r="V21" s="120">
        <f>IF($D21="X",ROUND($G22+($H22-$G22)*(($J$12-$I$6)/($J$6-$I$6)),0),"")</f>
      </c>
      <c r="W21" s="120">
        <f>IF($D21="X",$E20,"")</f>
      </c>
      <c r="X21" s="120">
        <f>IF($D21="X",$E22,"")</f>
      </c>
    </row>
    <row r="22" spans="1:24" ht="10.5" customHeight="1">
      <c r="A22" s="106">
        <f>IF($G$4="","",IF($G$4=E22,"X",""))</f>
      </c>
      <c r="B22" s="106">
        <f>IF($G$7="","",IF($G$7=E22,"X",""))</f>
      </c>
      <c r="C22" s="106">
        <f>IF($G$10="","",IF($G$10=E22,"X",""))</f>
      </c>
      <c r="D22" s="106">
        <f>IF($G$13="","",IF($G$13=E22,"X",""))</f>
      </c>
      <c r="E22" s="106">
        <f>IF($F$14="X",'Tafel § 16'!B9,IF($F$15="X",'Tafel § 16'!B9,IF($F$16="X",'Tafel § 17'!B9,"")))</f>
        <v>25565</v>
      </c>
      <c r="F22" s="106"/>
      <c r="G22" s="106">
        <f>IF($F$14="X",'Tafel § 16'!C9,IF($F$15="X",'Tafel § 16'!C9,IF($F$16="X",'Tafel § 17'!C9,"")))</f>
        <v>1984</v>
      </c>
      <c r="H22" s="106">
        <f>IF($F$14="X",'Tafel § 16'!D9,IF($F$15="X",'Tafel § 16'!D9,IF($F$16="X",'Tafel § 17'!D9,"")))</f>
        <v>2413</v>
      </c>
      <c r="I22" s="106">
        <f>IF($A22="X",ROUND($G22+($H22-$G22)*(($J$12-$I$6)/($J$6-$I$6)),0),"")</f>
      </c>
      <c r="J22" s="106">
        <f>IF($A22="X",ROUND($G22+($H22-$G22)*(($J$12-$I$6)/($J$6-$I$6)),0),"")</f>
      </c>
      <c r="K22" s="106">
        <f>IF($A22="X",$E22,"")</f>
      </c>
      <c r="L22" s="106">
        <f>IF($A22="X",$E24,"")</f>
      </c>
      <c r="M22" s="106">
        <f>IF($B22="X",ROUND($G22+($H22-$G22)*(($J$12-$I$6)/($J$6-$I$6)),0),"")</f>
      </c>
      <c r="N22" s="106">
        <f>IF($B22="X",ROUND($G22+($H22-$G22)*(($J$12-$I$6)/($J$6-$I$6)),0),"")</f>
      </c>
      <c r="O22" s="106">
        <f>IF($B22="X",$E22,"")</f>
      </c>
      <c r="P22" s="106">
        <f>IF($B22="X",$E24,"")</f>
      </c>
      <c r="Q22" s="106">
        <f>IF($C22="X",ROUND($G22+($H22-$G22)*(($J$12-$I$6)/($J$6-$I$6)),0),"")</f>
      </c>
      <c r="R22" s="106">
        <f>IF($C22="X",ROUND($G22+($H22-$G22)*(($J$12-$I$6)/($J$6-$I$6)),0),"")</f>
      </c>
      <c r="S22" s="106">
        <f>IF($C22="X",$E22,"")</f>
      </c>
      <c r="T22" s="106">
        <f>IF($C22="X",$E24,"")</f>
      </c>
      <c r="U22" s="106">
        <f>IF($D22="X",ROUND($G22+($H22-$G22)*(($J$12-$I$6)/($J$6-$I$6)),0),"")</f>
      </c>
      <c r="V22" s="106">
        <f>IF($D22="X",ROUND($G22+($H22-$G22)*(($J$12-$I$6)/($J$6-$I$6)),0),"")</f>
      </c>
      <c r="W22" s="106">
        <f>IF($D22="X",$E22,"")</f>
      </c>
      <c r="X22" s="106">
        <f>IF($D22="X",$E24,"")</f>
      </c>
    </row>
    <row r="23" spans="1:24" ht="10.5" customHeight="1">
      <c r="A23" s="99">
        <f>IF($G$4=$E22,"",IF($G$4=$E24,"",IF($G$4&gt;=$E22,IF($G$4&lt;=$E24,"X",""),"")))</f>
      </c>
      <c r="B23" s="99">
        <f>IF($G$7=$E22,"",IF($G$7=$E24,"",IF($G$7&gt;=$E22,IF($G$7&lt;=$E24,"X",""),"")))</f>
      </c>
      <c r="C23" s="99">
        <f>IF($G$10=$E22,"",IF($G$10=$E24,"",IF($G$10&gt;=$E22,IF($G$10&lt;=$E24,"X",""),"")))</f>
      </c>
      <c r="D23" s="99">
        <f>IF($G$13=$E22,"",IF($G$13=$E24,"",IF($G$13&gt;=$E22,IF($G$13&lt;=$E24,"X",""),"")))</f>
      </c>
      <c r="I23" s="120">
        <f>IF($A23="X",ROUND($G22+($H22-$G22)*(($J$12-$I$6)/($J$6-$I$6)),0),"")</f>
      </c>
      <c r="J23" s="120">
        <f>IF($A23="X",ROUND($G24+($H24-$G24)*(($J$12-$I$6)/($J$6-$I$6)),0),"")</f>
      </c>
      <c r="K23" s="120">
        <f>IF($A23="X",$E22,"")</f>
      </c>
      <c r="L23" s="120">
        <f>IF($A23="X",$E24,"")</f>
      </c>
      <c r="M23" s="120">
        <f>IF($B23="X",ROUND($G22+($H22-$G22)*(($J$12-$I$6)/($J$6-$I$6)),0),"")</f>
      </c>
      <c r="N23" s="120">
        <f>IF($B23="X",ROUND($G24+($H24-$G24)*(($J$12-$I$6)/($J$6-$I$6)),0),"")</f>
      </c>
      <c r="O23" s="120">
        <f>IF($B23="X",$E22,"")</f>
      </c>
      <c r="P23" s="120">
        <f>IF($B23="X",$E24,"")</f>
      </c>
      <c r="Q23" s="120">
        <f>IF($C23="X",ROUND($G22+($H22-$G22)*(($J$12-$I$6)/($J$6-$I$6)),0),"")</f>
      </c>
      <c r="R23" s="120">
        <f>IF($C23="X",ROUND($G24+($H24-$G24)*(($J$12-$I$6)/($J$6-$I$6)),0),"")</f>
      </c>
      <c r="S23" s="120">
        <f>IF($C23="X",$E22,"")</f>
      </c>
      <c r="T23" s="120">
        <f>IF($C23="X",$E24,"")</f>
      </c>
      <c r="U23" s="120">
        <f>IF($D23="X",ROUND($G22+($H22-$G22)*(($J$12-$I$6)/($J$6-$I$6)),0),"")</f>
      </c>
      <c r="V23" s="120">
        <f>IF($D23="X",ROUND($G24+($H24-$G24)*(($J$12-$I$6)/($J$6-$I$6)),0),"")</f>
      </c>
      <c r="W23" s="120">
        <f>IF($D23="X",$E22,"")</f>
      </c>
      <c r="X23" s="120">
        <f>IF($D23="X",$E24,"")</f>
      </c>
    </row>
    <row r="24" spans="1:24" ht="10.5" customHeight="1">
      <c r="A24" s="106">
        <f>IF($G$4="","",IF($G$4=E24,"X",""))</f>
      </c>
      <c r="B24" s="106">
        <f>IF($G$7="","",IF($G$7=E24,"X",""))</f>
      </c>
      <c r="C24" s="106">
        <f>IF($G$10="","",IF($G$10=E24,"X",""))</f>
      </c>
      <c r="D24" s="106">
        <f>IF($G$13="","",IF($G$13=E24,"X",""))</f>
      </c>
      <c r="E24" s="106">
        <f>IF($F$14="X",'Tafel § 16'!B11,IF($F$15="X",'Tafel § 16'!B11,IF($F$16="X",'Tafel § 17'!B11,"")))</f>
        <v>30000</v>
      </c>
      <c r="F24" s="106"/>
      <c r="G24" s="106">
        <f>IF($F$14="X",'Tafel § 16'!C11,IF($F$15="X",'Tafel § 16'!C11,IF($F$16="X",'Tafel § 17'!C11,"")))</f>
        <v>2325</v>
      </c>
      <c r="H24" s="106">
        <f>IF($F$14="X",'Tafel § 16'!D11,IF($F$15="X",'Tafel § 16'!D11,IF($F$16="X",'Tafel § 17'!D11,"")))</f>
        <v>2826</v>
      </c>
      <c r="I24" s="106">
        <f>IF($A24="X",ROUND($G24+($H24-$G24)*(($J$12-$I$6)/($J$6-$I$6)),0),"")</f>
      </c>
      <c r="J24" s="106">
        <f>IF($A24="X",ROUND($G24+($H24-$G24)*(($J$12-$I$6)/($J$6-$I$6)),0),"")</f>
      </c>
      <c r="K24" s="106">
        <f>IF($A24="X",$E24,"")</f>
      </c>
      <c r="L24" s="106">
        <f>IF($A24="X",$E26,"")</f>
      </c>
      <c r="M24" s="106">
        <f>IF($B24="X",ROUND($G24+($H24-$G24)*(($J$12-$I$6)/($J$6-$I$6)),0),"")</f>
      </c>
      <c r="N24" s="106">
        <f>IF($B24="X",ROUND($G24+($H24-$G24)*(($J$12-$I$6)/($J$6-$I$6)),0),"")</f>
      </c>
      <c r="O24" s="106">
        <f>IF($B24="X",$E24,"")</f>
      </c>
      <c r="P24" s="106">
        <f>IF($B24="X",$E26,"")</f>
      </c>
      <c r="Q24" s="106">
        <f>IF($C24="X",ROUND($G24+($H24-$G24)*(($J$12-$I$6)/($J$6-$I$6)),0),"")</f>
      </c>
      <c r="R24" s="106">
        <f>IF($C24="X",ROUND($G24+($H24-$G24)*(($J$12-$I$6)/($J$6-$I$6)),0),"")</f>
      </c>
      <c r="S24" s="106">
        <f>IF($C24="X",$E24,"")</f>
      </c>
      <c r="T24" s="106">
        <f>IF($C24="X",$E26,"")</f>
      </c>
      <c r="U24" s="106">
        <f>IF($D24="X",ROUND($G24+($H24-$G24)*(($J$12-$I$6)/($J$6-$I$6)),0),"")</f>
      </c>
      <c r="V24" s="106">
        <f>IF($D24="X",ROUND($G24+($H24-$G24)*(($J$12-$I$6)/($J$6-$I$6)),0),"")</f>
      </c>
      <c r="W24" s="106">
        <f>IF($D24="X",$E24,"")</f>
      </c>
      <c r="X24" s="106">
        <f>IF($D24="X",$E26,"")</f>
      </c>
    </row>
    <row r="25" spans="1:24" ht="10.5" customHeight="1">
      <c r="A25" s="99">
        <f>IF($G$4=$E24,"",IF($G$4=$E26,"",IF($G$4&gt;=$E24,IF($G$4&lt;=$E26,"X",""),"")))</f>
      </c>
      <c r="B25" s="99">
        <f>IF($G$7=$E24,"",IF($G$7=$E26,"",IF($G$7&gt;=$E24,IF($G$7&lt;=$E26,"X",""),"")))</f>
      </c>
      <c r="C25" s="99">
        <f>IF($G$10=$E24,"",IF($G$10=$E26,"",IF($G$10&gt;=$E24,IF($G$10&lt;=$E26,"X",""),"")))</f>
      </c>
      <c r="D25" s="99">
        <f>IF($G$13=$E24,"",IF($G$13=$E26,"",IF($G$13&gt;=$E24,IF($G$13&lt;=$E26,"X",""),"")))</f>
      </c>
      <c r="I25" s="120">
        <f>IF($A25="X",ROUND($G24+($H24-$G24)*(($J$12-$I$6)/($J$6-$I$6)),0),"")</f>
      </c>
      <c r="J25" s="120">
        <f>IF($A25="X",ROUND($G26+($H26-$G26)*(($J$12-$I$6)/($J$6-$I$6)),0),"")</f>
      </c>
      <c r="K25" s="120">
        <f>IF($A25="X",$E24,"")</f>
      </c>
      <c r="L25" s="120">
        <f>IF($A25="X",$E26,"")</f>
      </c>
      <c r="M25" s="120">
        <f>IF($B25="X",ROUND($G24+($H24-$G24)*(($J$12-$I$6)/($J$6-$I$6)),0),"")</f>
      </c>
      <c r="N25" s="120">
        <f>IF($B25="X",ROUND($G26+($H26-$G26)*(($J$12-$I$6)/($J$6-$I$6)),0),"")</f>
      </c>
      <c r="O25" s="120">
        <f>IF($B25="X",$E24,"")</f>
      </c>
      <c r="P25" s="120">
        <f>IF($B25="X",$E26,"")</f>
      </c>
      <c r="Q25" s="120">
        <f>IF($C25="X",ROUND($G24+($H24-$G24)*(($J$12-$I$6)/($J$6-$I$6)),0),"")</f>
      </c>
      <c r="R25" s="120">
        <f>IF($C25="X",ROUND($G26+($H26-$G26)*(($J$12-$I$6)/($J$6-$I$6)),0),"")</f>
      </c>
      <c r="S25" s="120">
        <f>IF($C25="X",$E24,"")</f>
      </c>
      <c r="T25" s="120">
        <f>IF($C25="X",$E26,"")</f>
      </c>
      <c r="U25" s="120">
        <f>IF($D25="X",ROUND($G24+($H24-$G24)*(($J$12-$I$6)/($J$6-$I$6)),0),"")</f>
      </c>
      <c r="V25" s="120">
        <f>IF($D25="X",ROUND($G26+($H26-$G26)*(($J$12-$I$6)/($J$6-$I$6)),0),"")</f>
      </c>
      <c r="W25" s="120">
        <f>IF($D25="X",$E24,"")</f>
      </c>
      <c r="X25" s="120">
        <f>IF($D25="X",$E26,"")</f>
      </c>
    </row>
    <row r="26" spans="1:24" ht="10.5" customHeight="1">
      <c r="A26" s="106">
        <f>IF($G$4="","",IF($G$4=E26,"X",""))</f>
      </c>
      <c r="B26" s="106">
        <f>IF($G$7="","",IF($G$7=E26,"X",""))</f>
      </c>
      <c r="C26" s="106">
        <f>IF($G$10="","",IF($G$10=E26,"X",""))</f>
      </c>
      <c r="D26" s="106">
        <f>IF($G$13="","",IF($G$13=E26,"X",""))</f>
      </c>
      <c r="E26" s="106">
        <f>IF($F$14="X",'Tafel § 16'!B13,IF($F$15="X",'Tafel § 16'!B13,IF($F$16="X",'Tafel § 17'!B13,"")))</f>
        <v>35000</v>
      </c>
      <c r="F26" s="106"/>
      <c r="G26" s="106">
        <f>IF($F$14="X",'Tafel § 16'!C13,IF($F$15="X",'Tafel § 16'!C13,IF($F$16="X",'Tafel § 17'!C13,"")))</f>
        <v>2719</v>
      </c>
      <c r="H26" s="106">
        <f>IF($F$14="X",'Tafel § 16'!D13,IF($F$15="X",'Tafel § 16'!D13,IF($F$16="X",'Tafel § 17'!D13,"")))</f>
        <v>3299</v>
      </c>
      <c r="I26" s="106">
        <f>IF($A26="X",ROUND($G26+($H26-$G26)*(($J$12-$I$6)/($J$6-$I$6)),0),"")</f>
      </c>
      <c r="J26" s="106">
        <f>IF($A26="X",ROUND($G26+($H26-$G26)*(($J$12-$I$6)/($J$6-$I$6)),0),"")</f>
      </c>
      <c r="K26" s="106">
        <f>IF($A26="X",$E26,"")</f>
      </c>
      <c r="L26" s="106">
        <f>IF($A26="X",$E28,"")</f>
      </c>
      <c r="M26" s="106">
        <f>IF($B26="X",ROUND($G26+($H26-$G26)*(($J$12-$I$6)/($J$6-$I$6)),0),"")</f>
      </c>
      <c r="N26" s="106">
        <f>IF($B26="X",ROUND($G26+($H26-$G26)*(($J$12-$I$6)/($J$6-$I$6)),0),"")</f>
      </c>
      <c r="O26" s="106">
        <f>IF($B26="X",$E26,"")</f>
      </c>
      <c r="P26" s="106">
        <f>IF($B26="X",$E28,"")</f>
      </c>
      <c r="Q26" s="106">
        <f>IF($C26="X",ROUND($G26+($H26-$G26)*(($J$12-$I$6)/($J$6-$I$6)),0),"")</f>
      </c>
      <c r="R26" s="106">
        <f>IF($C26="X",ROUND($G26+($H26-$G26)*(($J$12-$I$6)/($J$6-$I$6)),0),"")</f>
      </c>
      <c r="S26" s="106">
        <f>IF($C26="X",$E26,"")</f>
      </c>
      <c r="T26" s="106">
        <f>IF($C26="X",$E28,"")</f>
      </c>
      <c r="U26" s="106">
        <f>IF($D26="X",ROUND($G26+($H26-$G26)*(($J$12-$I$6)/($J$6-$I$6)),0),"")</f>
      </c>
      <c r="V26" s="106">
        <f>IF($D26="X",ROUND($G26+($H26-$G26)*(($J$12-$I$6)/($J$6-$I$6)),0),"")</f>
      </c>
      <c r="W26" s="106">
        <f>IF($D26="X",$E26,"")</f>
      </c>
      <c r="X26" s="106">
        <f>IF($D26="X",$E28,"")</f>
      </c>
    </row>
    <row r="27" spans="1:24" ht="10.5" customHeight="1">
      <c r="A27" s="99">
        <f>IF($G$4=$E26,"",IF($G$4=$E28,"",IF($G$4&gt;=$E26,IF($G$4&lt;=$E28,"X",""),"")))</f>
      </c>
      <c r="B27" s="99">
        <f>IF($G$7=$E26,"",IF($G$7=$E28,"",IF($G$7&gt;=$E26,IF($G$7&lt;=$E28,"X",""),"")))</f>
      </c>
      <c r="C27" s="99">
        <f>IF($G$10=$E26,"",IF($G$10=$E28,"",IF($G$10&gt;=$E26,IF($G$10&lt;=$E28,"X",""),"")))</f>
      </c>
      <c r="D27" s="99">
        <f>IF($G$13=$E26,"",IF($G$13=$E28,"",IF($G$13&gt;=$E26,IF($G$13&lt;=$E28,"X",""),"")))</f>
      </c>
      <c r="I27" s="120">
        <f>IF($A27="X",ROUND($G26+($H26-$G26)*(($J$12-$I$6)/($J$6-$I$6)),0),"")</f>
      </c>
      <c r="J27" s="120">
        <f>IF($A27="X",ROUND($G28+($H28-$G28)*(($J$12-$I$6)/($J$6-$I$6)),0),"")</f>
      </c>
      <c r="K27" s="120">
        <f>IF($A27="X",$E26,"")</f>
      </c>
      <c r="L27" s="120">
        <f>IF($A27="X",$E28,"")</f>
      </c>
      <c r="M27" s="120">
        <f>IF($B27="X",ROUND($G26+($H26-$G26)*(($J$12-$I$6)/($J$6-$I$6)),0),"")</f>
      </c>
      <c r="N27" s="120">
        <f>IF($B27="X",ROUND($G28+($H28-$G28)*(($J$12-$I$6)/($J$6-$I$6)),0),"")</f>
      </c>
      <c r="O27" s="120">
        <f>IF($B27="X",$E26,"")</f>
      </c>
      <c r="P27" s="120">
        <f>IF($B27="X",$E28,"")</f>
      </c>
      <c r="Q27" s="120">
        <f>IF($C27="X",ROUND($G26+($H26-$G26)*(($J$12-$I$6)/($J$6-$I$6)),0),"")</f>
      </c>
      <c r="R27" s="120">
        <f>IF($C27="X",ROUND($G28+($H28-$G28)*(($J$12-$I$6)/($J$6-$I$6)),0),"")</f>
      </c>
      <c r="S27" s="120">
        <f>IF($C27="X",$E26,"")</f>
      </c>
      <c r="T27" s="120">
        <f>IF($C27="X",$E28,"")</f>
      </c>
      <c r="U27" s="120">
        <f>IF($D27="X",ROUND($G26+($H26-$G26)*(($J$12-$I$6)/($J$6-$I$6)),0),"")</f>
      </c>
      <c r="V27" s="120">
        <f>IF($D27="X",ROUND($G28+($H28-$G28)*(($J$12-$I$6)/($J$6-$I$6)),0),"")</f>
      </c>
      <c r="W27" s="120">
        <f>IF($D27="X",$E26,"")</f>
      </c>
      <c r="X27" s="120">
        <f>IF($D27="X",$E28,"")</f>
      </c>
    </row>
    <row r="28" spans="1:24" ht="10.5" customHeight="1">
      <c r="A28" s="106">
        <f>IF($G$4="","",IF($G$4=E28,"X",""))</f>
      </c>
      <c r="B28" s="106">
        <f>IF($G$7="","",IF($G$7=E28,"X",""))</f>
      </c>
      <c r="C28" s="106">
        <f>IF($G$10="","",IF($G$10=E28,"X",""))</f>
      </c>
      <c r="D28" s="106">
        <f>IF($G$13="","",IF($G$13=E28,"X",""))</f>
      </c>
      <c r="E28" s="106">
        <f>IF($F$14="X",'Tafel § 16'!B15,IF($F$15="X",'Tafel § 16'!B15,IF($F$16="X",'Tafel § 17'!B15,"")))</f>
        <v>40000</v>
      </c>
      <c r="F28" s="106"/>
      <c r="G28" s="106">
        <f>IF($F$14="X",'Tafel § 16'!C15,IF($F$15="X",'Tafel § 16'!C15,IF($F$16="X",'Tafel § 17'!C15,"")))</f>
        <v>3101</v>
      </c>
      <c r="H28" s="106">
        <f>IF($F$14="X",'Tafel § 16'!D15,IF($F$15="X",'Tafel § 16'!D15,IF($F$16="X",'Tafel § 17'!D15,"")))</f>
        <v>3762</v>
      </c>
      <c r="I28" s="106">
        <f>IF($A28="X",ROUND($G28+($H28-$G28)*(($J$12-$I$6)/($J$6-$I$6)),0),"")</f>
      </c>
      <c r="J28" s="106">
        <f>IF($A28="X",ROUND($G28+($H28-$G28)*(($J$12-$I$6)/($J$6-$I$6)),0),"")</f>
      </c>
      <c r="K28" s="106">
        <f>IF($A28="X",$E28,"")</f>
      </c>
      <c r="L28" s="106">
        <f>IF($A28="X",$E30,"")</f>
      </c>
      <c r="M28" s="106">
        <f>IF($B28="X",ROUND($G28+($H28-$G28)*(($J$12-$I$6)/($J$6-$I$6)),0),"")</f>
      </c>
      <c r="N28" s="106">
        <f>IF($B28="X",ROUND($G28+($H28-$G28)*(($J$12-$I$6)/($J$6-$I$6)),0),"")</f>
      </c>
      <c r="O28" s="106">
        <f>IF($B28="X",$E28,"")</f>
      </c>
      <c r="P28" s="106">
        <f>IF($B28="X",$E30,"")</f>
      </c>
      <c r="Q28" s="106">
        <f>IF($C28="X",ROUND($G28+($H28-$G28)*(($J$12-$I$6)/($J$6-$I$6)),0),"")</f>
      </c>
      <c r="R28" s="106">
        <f>IF($C28="X",ROUND($G28+($H28-$G28)*(($J$12-$I$6)/($J$6-$I$6)),0),"")</f>
      </c>
      <c r="S28" s="106">
        <f>IF($C28="X",$E28,"")</f>
      </c>
      <c r="T28" s="106">
        <f>IF($C28="X",$E30,"")</f>
      </c>
      <c r="U28" s="106">
        <f>IF($D28="X",ROUND($G28+($H28-$G28)*(($J$12-$I$6)/($J$6-$I$6)),0),"")</f>
      </c>
      <c r="V28" s="106">
        <f>IF($D28="X",ROUND($G28+($H28-$G28)*(($J$12-$I$6)/($J$6-$I$6)),0),"")</f>
      </c>
      <c r="W28" s="106">
        <f>IF($D28="X",$E28,"")</f>
      </c>
      <c r="X28" s="106">
        <f>IF($D28="X",$E30,"")</f>
      </c>
    </row>
    <row r="29" spans="1:24" ht="10.5" customHeight="1">
      <c r="A29" s="99">
        <f>IF($G$4=$E28,"",IF($G$4=$E30,"",IF($G$4&gt;=$E28,IF($G$4&lt;=$E30,"X",""),"")))</f>
      </c>
      <c r="B29" s="99">
        <f>IF($G$7=$E28,"",IF($G$7=$E30,"",IF($G$7&gt;=$E28,IF($G$7&lt;=$E30,"X",""),"")))</f>
      </c>
      <c r="C29" s="99">
        <f>IF($G$10=$E28,"",IF($G$10=$E30,"",IF($G$10&gt;=$E28,IF($G$10&lt;=$E30,"X",""),"")))</f>
      </c>
      <c r="D29" s="99">
        <f>IF($G$13=$E28,"",IF($G$13=$E30,"",IF($G$13&gt;=$E28,IF($G$13&lt;=$E30,"X",""),"")))</f>
      </c>
      <c r="I29" s="120">
        <f>IF($A29="X",ROUND($G28+($H28-$G28)*(($J$12-$I$6)/($J$6-$I$6)),0),"")</f>
      </c>
      <c r="J29" s="120">
        <f>IF($A29="X",ROUND($G30+($H30-$G30)*(($J$12-$I$6)/($J$6-$I$6)),0),"")</f>
      </c>
      <c r="K29" s="120">
        <f>IF($A29="X",$E28,"")</f>
      </c>
      <c r="L29" s="120">
        <f>IF($A29="X",$E30,"")</f>
      </c>
      <c r="M29" s="120">
        <f>IF($B29="X",ROUND($G28+($H28-$G28)*(($J$12-$I$6)/($J$6-$I$6)),0),"")</f>
      </c>
      <c r="N29" s="120">
        <f>IF($B29="X",ROUND($G30+($H30-$G30)*(($J$12-$I$6)/($J$6-$I$6)),0),"")</f>
      </c>
      <c r="O29" s="120">
        <f>IF($B29="X",$E28,"")</f>
      </c>
      <c r="P29" s="120">
        <f>IF($B29="X",$E30,"")</f>
      </c>
      <c r="Q29" s="120">
        <f>IF($C29="X",ROUND($G28+($H28-$G28)*(($J$12-$I$6)/($J$6-$I$6)),0),"")</f>
      </c>
      <c r="R29" s="120">
        <f>IF($C29="X",ROUND($G30+($H30-$G30)*(($J$12-$I$6)/($J$6-$I$6)),0),"")</f>
      </c>
      <c r="S29" s="120">
        <f>IF($C29="X",$E28,"")</f>
      </c>
      <c r="T29" s="120">
        <f>IF($C29="X",$E30,"")</f>
      </c>
      <c r="U29" s="120">
        <f>IF($D29="X",ROUND($G28+($H28-$G28)*(($J$12-$I$6)/($J$6-$I$6)),0),"")</f>
      </c>
      <c r="V29" s="120">
        <f>IF($D29="X",ROUND($G30+($H30-$G30)*(($J$12-$I$6)/($J$6-$I$6)),0),"")</f>
      </c>
      <c r="W29" s="120">
        <f>IF($D29="X",$E28,"")</f>
      </c>
      <c r="X29" s="120">
        <f>IF($D29="X",$E30,"")</f>
      </c>
    </row>
    <row r="30" spans="1:24" ht="10.5" customHeight="1">
      <c r="A30" s="106">
        <f>IF($G$4="","",IF($G$4=E30,"X",""))</f>
      </c>
      <c r="B30" s="106">
        <f>IF($G$7="","",IF($G$7=E30,"X",""))</f>
      </c>
      <c r="C30" s="106">
        <f>IF($G$10="","",IF($G$10=E30,"X",""))</f>
      </c>
      <c r="D30" s="106">
        <f>IF($G$13="","",IF($G$13=E30,"X",""))</f>
      </c>
      <c r="E30" s="106">
        <f>IF($F$14="X",'Tafel § 16'!B17,IF($F$15="X",'Tafel § 16'!B17,IF($F$16="X",'Tafel § 17'!B17,"")))</f>
        <v>45000</v>
      </c>
      <c r="F30" s="106"/>
      <c r="G30" s="106">
        <f>IF($F$14="X",'Tafel § 16'!C17,IF($F$15="X",'Tafel § 16'!C17,IF($F$16="X",'Tafel § 17'!C17,"")))</f>
        <v>3494</v>
      </c>
      <c r="H30" s="106">
        <f>IF($F$14="X",'Tafel § 16'!D17,IF($F$15="X",'Tafel § 16'!D17,IF($F$16="X",'Tafel § 17'!D17,"")))</f>
        <v>4234</v>
      </c>
      <c r="I30" s="106">
        <f>IF($A30="X",ROUND($G30+($H30-$G30)*(($J$12-$I$6)/($J$6-$I$6)),0),"")</f>
      </c>
      <c r="J30" s="106">
        <f>IF($A30="X",ROUND($G30+($H30-$G30)*(($J$12-$I$6)/($J$6-$I$6)),0),"")</f>
      </c>
      <c r="K30" s="106">
        <f>IF($A30="X",$E30,"")</f>
      </c>
      <c r="L30" s="106">
        <f>IF($A30="X",$E32,"")</f>
      </c>
      <c r="M30" s="106">
        <f>IF($B30="X",ROUND($G30+($H30-$G30)*(($J$12-$I$6)/($J$6-$I$6)),0),"")</f>
      </c>
      <c r="N30" s="106">
        <f>IF($B30="X",ROUND($G30+($H30-$G30)*(($J$12-$I$6)/($J$6-$I$6)),0),"")</f>
      </c>
      <c r="O30" s="106">
        <f>IF($B30="X",$E30,"")</f>
      </c>
      <c r="P30" s="106">
        <f>IF($B30="X",$E32,"")</f>
      </c>
      <c r="Q30" s="106">
        <f>IF($C30="X",ROUND($G30+($H30-$G30)*(($J$12-$I$6)/($J$6-$I$6)),0),"")</f>
      </c>
      <c r="R30" s="106">
        <f>IF($C30="X",ROUND($G30+($H30-$G30)*(($J$12-$I$6)/($J$6-$I$6)),0),"")</f>
      </c>
      <c r="S30" s="106">
        <f>IF($C30="X",$E30,"")</f>
      </c>
      <c r="T30" s="106">
        <f>IF($C30="X",$E32,"")</f>
      </c>
      <c r="U30" s="106">
        <f>IF($D30="X",ROUND($G30+($H30-$G30)*(($J$12-$I$6)/($J$6-$I$6)),0),"")</f>
      </c>
      <c r="V30" s="106">
        <f>IF($D30="X",ROUND($G30+($H30-$G30)*(($J$12-$I$6)/($J$6-$I$6)),0),"")</f>
      </c>
      <c r="W30" s="106">
        <f>IF($D30="X",$E30,"")</f>
      </c>
      <c r="X30" s="106">
        <f>IF($D30="X",$E32,"")</f>
      </c>
    </row>
    <row r="31" spans="1:24" ht="10.5" customHeight="1">
      <c r="A31" s="99">
        <f>IF($G$4=$E30,"",IF($G$4=$E32,"",IF($G$4&gt;=$E30,IF($G$4&lt;=$E32,"X",""),"")))</f>
      </c>
      <c r="B31" s="99">
        <f>IF($G$7=$E30,"",IF($G$7=$E32,"",IF($G$7&gt;=$E30,IF($G$7&lt;=$E32,"X",""),"")))</f>
      </c>
      <c r="C31" s="99">
        <f>IF($G$10=$E30,"",IF($G$10=$E32,"",IF($G$10&gt;=$E30,IF($G$10&lt;=$E32,"X",""),"")))</f>
      </c>
      <c r="D31" s="99">
        <f>IF($G$13=$E30,"",IF($G$13=$E32,"",IF($G$13&gt;=$E30,IF($G$13&lt;=$E32,"X",""),"")))</f>
      </c>
      <c r="I31" s="120">
        <f>IF($A31="X",ROUND($G30+($H30-$G30)*(($J$12-$I$6)/($J$6-$I$6)),0),"")</f>
      </c>
      <c r="J31" s="120">
        <f>IF($A31="X",ROUND($G32+($H32-$G32)*(($J$12-$I$6)/($J$6-$I$6)),0),"")</f>
      </c>
      <c r="K31" s="120">
        <f>IF($A31="X",$E30,"")</f>
      </c>
      <c r="L31" s="120">
        <f>IF($A31="X",$E32,"")</f>
      </c>
      <c r="M31" s="120">
        <f>IF($B31="X",ROUND($G30+($H30-$G30)*(($J$12-$I$6)/($J$6-$I$6)),0),"")</f>
      </c>
      <c r="N31" s="120">
        <f>IF($B31="X",ROUND($G32+($H32-$G32)*(($J$12-$I$6)/($J$6-$I$6)),0),"")</f>
      </c>
      <c r="O31" s="120">
        <f>IF($B31="X",$E30,"")</f>
      </c>
      <c r="P31" s="120">
        <f>IF($B31="X",$E32,"")</f>
      </c>
      <c r="Q31" s="120">
        <f>IF($C31="X",ROUND($G30+($H30-$G30)*(($J$12-$I$6)/($J$6-$I$6)),0),"")</f>
      </c>
      <c r="R31" s="120">
        <f>IF($C31="X",ROUND($G32+($H32-$G32)*(($J$12-$I$6)/($J$6-$I$6)),0),"")</f>
      </c>
      <c r="S31" s="120">
        <f>IF($C31="X",$E30,"")</f>
      </c>
      <c r="T31" s="120">
        <f>IF($C31="X",$E32,"")</f>
      </c>
      <c r="U31" s="120">
        <f>IF($D31="X",ROUND($G30+($H30-$G30)*(($J$12-$I$6)/($J$6-$I$6)),0),"")</f>
      </c>
      <c r="V31" s="120">
        <f>IF($D31="X",ROUND($G32+($H32-$G32)*(($J$12-$I$6)/($J$6-$I$6)),0),"")</f>
      </c>
      <c r="W31" s="120">
        <f>IF($D31="X",$E30,"")</f>
      </c>
      <c r="X31" s="120">
        <f>IF($D31="X",$E32,"")</f>
      </c>
    </row>
    <row r="32" spans="1:24" ht="10.5" customHeight="1">
      <c r="A32" s="106">
        <f>IF($G$4="","",IF($G$4=E32,"X",""))</f>
      </c>
      <c r="B32" s="106">
        <f>IF($G$7="","",IF($G$7=E32,"X",""))</f>
      </c>
      <c r="C32" s="106">
        <f>IF($G$10="","",IF($G$10=E32,"X",""))</f>
      </c>
      <c r="D32" s="106">
        <f>IF($G$13="","",IF($G$13=E32,"X",""))</f>
      </c>
      <c r="E32" s="106">
        <f>IF($F$14="X",'Tafel § 16'!B19,IF($F$15="X",'Tafel § 16'!B19,IF($F$16="X",'Tafel § 17'!B19,"")))</f>
        <v>50000</v>
      </c>
      <c r="F32" s="106"/>
      <c r="G32" s="106">
        <f>IF($F$14="X",'Tafel § 16'!C19,IF($F$15="X",'Tafel § 16'!C19,IF($F$16="X",'Tafel § 17'!C19,"")))</f>
        <v>3881</v>
      </c>
      <c r="H32" s="106">
        <f>IF($F$14="X",'Tafel § 16'!D19,IF($F$15="X",'Tafel § 16'!D19,IF($F$16="X",'Tafel § 17'!D19,"")))</f>
        <v>4697</v>
      </c>
      <c r="I32" s="106">
        <f>IF($A32="X",ROUND($G32+($H32-$G32)*(($J$12-$I$6)/($J$6-$I$6)),0),"")</f>
      </c>
      <c r="J32" s="106">
        <f>IF($A32="X",ROUND($G32+($H32-$G32)*(($J$12-$I$6)/($J$6-$I$6)),0),"")</f>
      </c>
      <c r="K32" s="106">
        <f>IF($A32="X",$E32,"")</f>
      </c>
      <c r="L32" s="106">
        <f>IF($A32="X",$E34,"")</f>
      </c>
      <c r="M32" s="106">
        <f>IF($B32="X",ROUND($G32+($H32-$G32)*(($J$12-$I$6)/($J$6-$I$6)),0),"")</f>
      </c>
      <c r="N32" s="106">
        <f>IF($B32="X",ROUND($G32+($H32-$G32)*(($J$12-$I$6)/($J$6-$I$6)),0),"")</f>
      </c>
      <c r="O32" s="106">
        <f>IF($B32="X",$E32,"")</f>
      </c>
      <c r="P32" s="106">
        <f>IF($B32="X",$E34,"")</f>
      </c>
      <c r="Q32" s="106">
        <f>IF($C32="X",ROUND($G32+($H32-$G32)*(($J$12-$I$6)/($J$6-$I$6)),0),"")</f>
      </c>
      <c r="R32" s="106">
        <f>IF($C32="X",ROUND($G32+($H32-$G32)*(($J$12-$I$6)/($J$6-$I$6)),0),"")</f>
      </c>
      <c r="S32" s="106">
        <f>IF($C32="X",$E32,"")</f>
      </c>
      <c r="T32" s="106">
        <f>IF($C32="X",$E34,"")</f>
      </c>
      <c r="U32" s="106">
        <f>IF($D32="X",ROUND($G32+($H32-$G32)*(($J$12-$I$6)/($J$6-$I$6)),0),"")</f>
      </c>
      <c r="V32" s="106">
        <f>IF($D32="X",ROUND($G32+($H32-$G32)*(($J$12-$I$6)/($J$6-$I$6)),0),"")</f>
      </c>
      <c r="W32" s="106">
        <f>IF($D32="X",$E32,"")</f>
      </c>
      <c r="X32" s="106">
        <f>IF($D32="X",$E34,"")</f>
      </c>
    </row>
    <row r="33" spans="1:24" ht="10.5" customHeight="1">
      <c r="A33" s="120">
        <f>IF($G$4=$E32,"",IF($G$4=$E34,"",IF($G$4&gt;=$E32,IF($G$4&lt;=$E34,"X",""),"")))</f>
      </c>
      <c r="B33" s="99">
        <f>IF($G$7=$E32,"",IF($G$7=$E34,"",IF($G$7&gt;=$E32,IF($G$7&lt;=$E34,"X",""),"")))</f>
      </c>
      <c r="C33" s="99">
        <f>IF($G$10=$E32,"",IF($G$10=$E34,"",IF($G$10&gt;=$E32,IF($G$10&lt;=$E34,"X",""),"")))</f>
      </c>
      <c r="D33" s="99">
        <f>IF($G$13=$E32,"",IF($G$13=$E34,"",IF($G$13&gt;=$E32,IF($G$13&lt;=$E34,"X",""),"")))</f>
      </c>
      <c r="I33" s="120">
        <f>IF($A33="X",ROUND($G32+($H32-$G32)*(($J$12-$I$6)/($J$6-$I$6)),0),"")</f>
      </c>
      <c r="J33" s="120">
        <f>IF($A33="X",ROUND($G34+($H34-$G34)*(($J$12-$I$6)/($J$6-$I$6)),0),"")</f>
      </c>
      <c r="K33" s="120">
        <f>IF($A33="X",$E32,"")</f>
      </c>
      <c r="L33" s="120">
        <f>IF($A33="X",$E34,"")</f>
      </c>
      <c r="M33" s="120">
        <f>IF($B33="X",ROUND($G32+($H32-$G32)*(($J$12-$I$6)/($J$6-$I$6)),0),"")</f>
      </c>
      <c r="N33" s="120">
        <f>IF($B33="X",ROUND($G34+($H34-$G34)*(($J$12-$I$6)/($J$6-$I$6)),0),"")</f>
      </c>
      <c r="O33" s="120">
        <f>IF($B33="X",$E32,"")</f>
      </c>
      <c r="P33" s="120">
        <f>IF($B33="X",$E34,"")</f>
      </c>
      <c r="Q33" s="120">
        <f>IF($C33="X",ROUND($G32+($H32-$G32)*(($J$12-$I$6)/($J$6-$I$6)),0),"")</f>
      </c>
      <c r="R33" s="120">
        <f>IF($C33="X",ROUND($G34+($H34-$G34)*(($J$12-$I$6)/($J$6-$I$6)),0),"")</f>
      </c>
      <c r="S33" s="120">
        <f>IF($C33="X",$E32,"")</f>
      </c>
      <c r="T33" s="120">
        <f>IF($C33="X",$E34,"")</f>
      </c>
      <c r="U33" s="120">
        <f>IF($D33="X",ROUND($G32+($H32-$G32)*(($J$12-$I$6)/($J$6-$I$6)),0),"")</f>
      </c>
      <c r="V33" s="120">
        <f>IF($D33="X",ROUND($G34+($H34-$G34)*(($J$12-$I$6)/($J$6-$I$6)),0),"")</f>
      </c>
      <c r="W33" s="120">
        <f>IF($D33="X",$E32,"")</f>
      </c>
      <c r="X33" s="120">
        <f>IF($D33="X",$E34,"")</f>
      </c>
    </row>
    <row r="34" spans="1:24" ht="10.5" customHeight="1">
      <c r="A34" s="106">
        <f>IF($G$4="","",IF($G$4=E34,"X",""))</f>
      </c>
      <c r="B34" s="106">
        <f>IF($G$7="","",IF($G$7=E34,"X",""))</f>
      </c>
      <c r="C34" s="106">
        <f>IF($G$10="","",IF($G$10=E34,"X",""))</f>
      </c>
      <c r="D34" s="106">
        <f>IF($G$13="","",IF($G$13=E34,"X",""))</f>
      </c>
      <c r="E34" s="106">
        <f>IF($F$14="X",'Tafel § 16'!B21,IF($F$15="X",'Tafel § 16'!B21,IF($F$16="X",'Tafel § 17'!B21,"")))</f>
        <v>100000</v>
      </c>
      <c r="F34" s="106"/>
      <c r="G34" s="106">
        <f>IF($F$14="X",'Tafel § 16'!C21,IF($F$15="X",'Tafel § 16'!C21,IF($F$16="X",'Tafel § 17'!C21,"")))</f>
        <v>7755</v>
      </c>
      <c r="H34" s="106">
        <f>IF($F$14="X",'Tafel § 16'!D21,IF($F$15="X",'Tafel § 16'!D21,IF($F$16="X",'Tafel § 17'!D21,"")))</f>
        <v>9278</v>
      </c>
      <c r="I34" s="106">
        <f>IF($A34="X",ROUND($G34+($H34-$G34)*(($J$12-$I$6)/($J$6-$I$6)),0),"")</f>
      </c>
      <c r="J34" s="106">
        <f>IF($A34="X",ROUND($G34+($H34-$G34)*(($J$12-$I$6)/($J$6-$I$6)),0),"")</f>
      </c>
      <c r="K34" s="106">
        <f>IF($A34="X",$E34,"")</f>
      </c>
      <c r="L34" s="106">
        <f>IF($A34="X",$E36,"")</f>
      </c>
      <c r="M34" s="106">
        <f>IF($B34="X",ROUND($G34+($H34-$G34)*(($J$12-$I$6)/($J$6-$I$6)),0),"")</f>
      </c>
      <c r="N34" s="106">
        <f>IF($B34="X",ROUND($G34+($H34-$G34)*(($J$12-$I$6)/($J$6-$I$6)),0),"")</f>
      </c>
      <c r="O34" s="106">
        <f>IF($B34="X",$E34,"")</f>
      </c>
      <c r="P34" s="106">
        <f>IF($B34="X",$E36,"")</f>
      </c>
      <c r="Q34" s="106">
        <f>IF($C34="X",ROUND($G34+($H34-$G34)*(($J$12-$I$6)/($J$6-$I$6)),0),"")</f>
      </c>
      <c r="R34" s="106">
        <f>IF($C34="X",ROUND($G34+($H34-$G34)*(($J$12-$I$6)/($J$6-$I$6)),0),"")</f>
      </c>
      <c r="S34" s="106">
        <f>IF($C34="X",$E34,"")</f>
      </c>
      <c r="T34" s="106">
        <f>IF($C34="X",$E36,"")</f>
      </c>
      <c r="U34" s="106">
        <f>IF($D34="X",ROUND($G34+($H34-$G34)*(($J$12-$I$6)/($J$6-$I$6)),0),"")</f>
      </c>
      <c r="V34" s="106">
        <f>IF($D34="X",ROUND($G34+($H34-$G34)*(($J$12-$I$6)/($J$6-$I$6)),0),"")</f>
      </c>
      <c r="W34" s="106">
        <f>IF($D34="X",$E34,"")</f>
      </c>
      <c r="X34" s="106">
        <f>IF($D34="X",$E36,"")</f>
      </c>
    </row>
    <row r="35" spans="1:24" ht="10.5" customHeight="1">
      <c r="A35" s="99">
        <f>IF($G$4=$E34,"",IF($G$4=$E36,"",IF($G$4&gt;=$E34,IF($G$4&lt;=$E36,"X",""),"")))</f>
      </c>
      <c r="B35" s="99">
        <f>IF($G$7=$E34,"",IF($G$7=$E36,"",IF($G$7&gt;=$E34,IF($G$7&lt;=$E36,"X",""),"")))</f>
      </c>
      <c r="C35" s="99">
        <f>IF($G$10=$E34,"",IF($G$10=$E36,"",IF($G$10&gt;=$E34,IF($G$10&lt;=$E36,"X",""),"")))</f>
      </c>
      <c r="D35" s="99">
        <f>IF($G$13=$E34,"",IF($G$13=$E36,"",IF($G$13&gt;=$E34,IF($G$13&lt;=$E36,"X",""),"")))</f>
      </c>
      <c r="I35" s="120">
        <f>IF($A35="X",ROUND($G34+($H34-$G34)*(($J$12-$I$6)/($J$6-$I$6)),0),"")</f>
      </c>
      <c r="J35" s="120">
        <f>IF($A35="X",ROUND($G36+($H36-$G36)*(($J$12-$I$6)/($J$6-$I$6)),0),"")</f>
      </c>
      <c r="K35" s="120">
        <f>IF($A35="X",$E34,"")</f>
      </c>
      <c r="L35" s="120">
        <f>IF($A35="X",$E36,"")</f>
      </c>
      <c r="M35" s="120">
        <f>IF($B35="X",ROUND($G34+($H34-$G34)*(($J$12-$I$6)/($J$6-$I$6)),0),"")</f>
      </c>
      <c r="N35" s="120">
        <f>IF($B35="X",ROUND($G36+($H36-$G36)*(($J$12-$I$6)/($J$6-$I$6)),0),"")</f>
      </c>
      <c r="O35" s="120">
        <f>IF($B35="X",$E34,"")</f>
      </c>
      <c r="P35" s="120">
        <f>IF($B35="X",$E36,"")</f>
      </c>
      <c r="Q35" s="120">
        <f>IF($C35="X",ROUND($G34+($H34-$G34)*(($J$12-$I$6)/($J$6-$I$6)),0),"")</f>
      </c>
      <c r="R35" s="120">
        <f>IF($C35="X",ROUND($G36+($H36-$G36)*(($J$12-$I$6)/($J$6-$I$6)),0),"")</f>
      </c>
      <c r="S35" s="120">
        <f>IF($C35="X",$E34,"")</f>
      </c>
      <c r="T35" s="120">
        <f>IF($C35="X",$E36,"")</f>
      </c>
      <c r="U35" s="120">
        <f>IF($D35="X",ROUND($G34+($H34-$G34)*(($J$12-$I$6)/($J$6-$I$6)),0),"")</f>
      </c>
      <c r="V35" s="120">
        <f>IF($D35="X",ROUND($G36+($H36-$G36)*(($J$12-$I$6)/($J$6-$I$6)),0),"")</f>
      </c>
      <c r="W35" s="120">
        <f>IF($D35="X",$E34,"")</f>
      </c>
      <c r="X35" s="120">
        <f>IF($D35="X",$E36,"")</f>
      </c>
    </row>
    <row r="36" spans="1:24" ht="10.5" customHeight="1">
      <c r="A36" s="106">
        <f>IF($G$4="","",IF($G$4=E36,"X",""))</f>
      </c>
      <c r="B36" s="106">
        <f>IF($G$7="","",IF($G$7=E36,"X",""))</f>
      </c>
      <c r="C36" s="106">
        <f>IF($G$10="","",IF($G$10=E36,"X",""))</f>
      </c>
      <c r="D36" s="106">
        <f>IF($G$13="","",IF($G$13=E36,"X",""))</f>
      </c>
      <c r="E36" s="106">
        <f>IF($F$14="X",'Tafel § 16'!B23,IF($F$15="X",'Tafel § 16'!B23,IF($F$16="X",'Tafel § 17'!B23,"")))</f>
        <v>150000</v>
      </c>
      <c r="F36" s="106"/>
      <c r="G36" s="106">
        <f>IF($F$14="X",'Tafel § 16'!C23,IF($F$15="X",'Tafel § 16'!C23,IF($F$16="X",'Tafel § 17'!C23,"")))</f>
        <v>11635</v>
      </c>
      <c r="H36" s="106">
        <f>IF($F$14="X",'Tafel § 16'!D23,IF($F$15="X",'Tafel § 16'!D23,IF($F$16="X",'Tafel § 17'!D23,"")))</f>
        <v>13753</v>
      </c>
      <c r="I36" s="106">
        <f>IF($A36="X",ROUND($G36+($H36-$G36)*(($J$12-$I$6)/($J$6-$I$6)),0),"")</f>
      </c>
      <c r="J36" s="106">
        <f>IF($A36="X",ROUND($G36+($H36-$G36)*(($J$12-$I$6)/($J$6-$I$6)),0),"")</f>
      </c>
      <c r="K36" s="106">
        <f>IF($A36="X",$E36,"")</f>
      </c>
      <c r="L36" s="106">
        <f>IF($A36="X",$E38,"")</f>
      </c>
      <c r="M36" s="106">
        <f>IF($B36="X",ROUND($G36+($H36-$G36)*(($J$12-$I$6)/($J$6-$I$6)),0),"")</f>
      </c>
      <c r="N36" s="106">
        <f>IF($B36="X",ROUND($G36+($H36-$G36)*(($J$12-$I$6)/($J$6-$I$6)),0),"")</f>
      </c>
      <c r="O36" s="106">
        <f>IF($B36="X",$E36,"")</f>
      </c>
      <c r="P36" s="106">
        <f>IF($B36="X",$E38,"")</f>
      </c>
      <c r="Q36" s="106">
        <f>IF($C36="X",ROUND($G36+($H36-$G36)*(($J$12-$I$6)/($J$6-$I$6)),0),"")</f>
      </c>
      <c r="R36" s="106">
        <f>IF($C36="X",ROUND($G36+($H36-$G36)*(($J$12-$I$6)/($J$6-$I$6)),0),"")</f>
      </c>
      <c r="S36" s="106">
        <f>IF($C36="X",$E36,"")</f>
      </c>
      <c r="T36" s="106">
        <f>IF($C36="X",$E38,"")</f>
      </c>
      <c r="U36" s="106">
        <f>IF($D36="X",ROUND($G36+($H36-$G36)*(($J$12-$I$6)/($J$6-$I$6)),0),"")</f>
      </c>
      <c r="V36" s="106">
        <f>IF($D36="X",ROUND($G36+($H36-$G36)*(($J$12-$I$6)/($J$6-$I$6)),0),"")</f>
      </c>
      <c r="W36" s="106">
        <f>IF($D36="X",$E36,"")</f>
      </c>
      <c r="X36" s="106">
        <f>IF($D36="X",$E38,"")</f>
      </c>
    </row>
    <row r="37" spans="1:24" ht="10.5" customHeight="1">
      <c r="A37" s="99">
        <f>IF($G$4=$E36,"",IF($G$4=$E38,"",IF($G$4&gt;=$E36,IF($G$4&lt;=$E38,"X",""),"")))</f>
      </c>
      <c r="B37" s="99">
        <f>IF($G$7=$E36,"",IF($G$7=$E38,"",IF($G$7&gt;=$E36,IF($G$7&lt;=$E38,"X",""),"")))</f>
      </c>
      <c r="C37" s="99">
        <f>IF($G$10=$E36,"",IF($G$10=$E38,"",IF($G$10&gt;=$E36,IF($G$10&lt;=$E38,"X",""),"")))</f>
      </c>
      <c r="D37" s="99">
        <f>IF($G$13=$E36,"",IF($G$13=$E38,"",IF($G$13&gt;=$E36,IF($G$13&lt;=$E38,"X",""),"")))</f>
      </c>
      <c r="I37" s="120">
        <f>IF($A37="X",ROUND($G36+($H36-$G36)*(($J$12-$I$6)/($J$6-$I$6)),0),"")</f>
      </c>
      <c r="J37" s="120">
        <f>IF($A37="X",ROUND($G38+($H38-$G38)*(($J$12-$I$6)/($J$6-$I$6)),0),"")</f>
      </c>
      <c r="K37" s="120">
        <f>IF($A37="X",$E36,"")</f>
      </c>
      <c r="L37" s="120">
        <f>IF($A37="X",$E38,"")</f>
      </c>
      <c r="M37" s="120">
        <f>IF($B37="X",ROUND($G36+($H36-$G36)*(($J$12-$I$6)/($J$6-$I$6)),0),"")</f>
      </c>
      <c r="N37" s="120">
        <f>IF($B37="X",ROUND($G38+($H38-$G38)*(($J$12-$I$6)/($J$6-$I$6)),0),"")</f>
      </c>
      <c r="O37" s="120">
        <f>IF($B37="X",$E36,"")</f>
      </c>
      <c r="P37" s="120">
        <f>IF($B37="X",$E38,"")</f>
      </c>
      <c r="Q37" s="120">
        <f>IF($C37="X",ROUND($G36+($H36-$G36)*(($J$12-$I$6)/($J$6-$I$6)),0),"")</f>
      </c>
      <c r="R37" s="120">
        <f>IF($C37="X",ROUND($G38+($H38-$G38)*(($J$12-$I$6)/($J$6-$I$6)),0),"")</f>
      </c>
      <c r="S37" s="120">
        <f>IF($C37="X",$E36,"")</f>
      </c>
      <c r="T37" s="120">
        <f>IF($C37="X",$E38,"")</f>
      </c>
      <c r="U37" s="120">
        <f>IF($D37="X",ROUND($G36+($H36-$G36)*(($J$12-$I$6)/($J$6-$I$6)),0),"")</f>
      </c>
      <c r="V37" s="120">
        <f>IF($D37="X",ROUND($G38+($H38-$G38)*(($J$12-$I$6)/($J$6-$I$6)),0),"")</f>
      </c>
      <c r="W37" s="120">
        <f>IF($D37="X",$E36,"")</f>
      </c>
      <c r="X37" s="120">
        <f>IF($D37="X",$E38,"")</f>
      </c>
    </row>
    <row r="38" spans="1:24" ht="10.5" customHeight="1">
      <c r="A38" s="106">
        <f>IF($G$4="","",IF($G$4=E38,"X",""))</f>
      </c>
      <c r="B38" s="106">
        <f>IF($G$7="","",IF($G$7=E38,"X",""))</f>
      </c>
      <c r="C38" s="106">
        <f>IF($G$10="","",IF($G$10=E38,"X",""))</f>
      </c>
      <c r="D38" s="106">
        <f>IF($G$13="","",IF($G$13=E38,"X",""))</f>
      </c>
      <c r="E38" s="106">
        <f>IF($F$14="X",'Tafel § 16'!B25,IF($F$15="X",'Tafel § 16'!B25,IF($F$16="X",'Tafel § 17'!B25,"")))</f>
        <v>200000</v>
      </c>
      <c r="F38" s="106"/>
      <c r="G38" s="106">
        <f>IF($F$14="X",'Tafel § 16'!C25,IF($F$15="X",'Tafel § 16'!C25,IF($F$16="X",'Tafel § 17'!C25,"")))</f>
        <v>15510</v>
      </c>
      <c r="H38" s="106">
        <f>IF($F$14="X",'Tafel § 16'!D25,IF($F$15="X",'Tafel § 16'!D25,IF($F$16="X",'Tafel § 17'!D25,"")))</f>
        <v>18115</v>
      </c>
      <c r="I38" s="106">
        <f>IF($A38="X",ROUND($G38+($H38-$G38)*(($J$12-$I$6)/($J$6-$I$6)),0),"")</f>
      </c>
      <c r="J38" s="106">
        <f>IF($A38="X",ROUND($G38+($H38-$G38)*(($J$12-$I$6)/($J$6-$I$6)),0),"")</f>
      </c>
      <c r="K38" s="106">
        <f>IF($A38="X",$E38,"")</f>
      </c>
      <c r="L38" s="106">
        <f>IF($A38="X",$E40,"")</f>
      </c>
      <c r="M38" s="106">
        <f>IF($B38="X",ROUND($G38+($H38-$G38)*(($J$12-$I$6)/($J$6-$I$6)),0),"")</f>
      </c>
      <c r="N38" s="106">
        <f>IF($B38="X",ROUND($G38+($H38-$G38)*(($J$12-$I$6)/($J$6-$I$6)),0),"")</f>
      </c>
      <c r="O38" s="106">
        <f>IF($B38="X",$E38,"")</f>
      </c>
      <c r="P38" s="106">
        <f>IF($B38="X",$E40,"")</f>
      </c>
      <c r="Q38" s="106">
        <f>IF($C38="X",ROUND($G38+($H38-$G38)*(($J$12-$I$6)/($J$6-$I$6)),0),"")</f>
      </c>
      <c r="R38" s="106">
        <f>IF($C38="X",ROUND($G38+($H38-$G38)*(($J$12-$I$6)/($J$6-$I$6)),0),"")</f>
      </c>
      <c r="S38" s="106">
        <f>IF($C38="X",$E38,"")</f>
      </c>
      <c r="T38" s="106">
        <f>IF($C38="X",$E40,"")</f>
      </c>
      <c r="U38" s="106">
        <f>IF($D38="X",ROUND($G38+($H38-$G38)*(($J$12-$I$6)/($J$6-$I$6)),0),"")</f>
      </c>
      <c r="V38" s="106">
        <f>IF($D38="X",ROUND($G38+($H38-$G38)*(($J$12-$I$6)/($J$6-$I$6)),0),"")</f>
      </c>
      <c r="W38" s="106">
        <f>IF($D38="X",$E38,"")</f>
      </c>
      <c r="X38" s="106">
        <f>IF($D38="X",$E40,"")</f>
      </c>
    </row>
    <row r="39" spans="1:24" ht="10.5" customHeight="1">
      <c r="A39" s="99">
        <f>IF($G$4=$E38,"",IF($G$4=$E40,"",IF($G$4&gt;=$E38,IF($G$4&lt;=$E40,"X",""),"")))</f>
      </c>
      <c r="B39" s="99">
        <f>IF($G$7=$E38,"",IF($G$7=$E40,"",IF($G$7&gt;=$E38,IF($G$7&lt;=$E40,"X",""),"")))</f>
      </c>
      <c r="C39" s="99">
        <f>IF($G$10=$E38,"",IF($G$10=$E40,"",IF($G$10&gt;=$E38,IF($G$10&lt;=$E40,"X",""),"")))</f>
      </c>
      <c r="D39" s="99">
        <f>IF($G$13=$E38,"",IF($G$13=$E40,"",IF($G$13&gt;=$E38,IF($G$13&lt;=$E40,"X",""),"")))</f>
      </c>
      <c r="I39" s="120">
        <f>IF($A39="X",ROUND($G38+($H38-$G38)*(($J$12-$I$6)/($J$6-$I$6)),0),"")</f>
      </c>
      <c r="J39" s="120">
        <f>IF($A39="X",ROUND($G40+($H40-$G40)*(($J$12-$I$6)/($J$6-$I$6)),0),"")</f>
      </c>
      <c r="K39" s="120">
        <f>IF($A39="X",$E38,"")</f>
      </c>
      <c r="L39" s="120">
        <f>IF($A39="X",$E40,"")</f>
      </c>
      <c r="M39" s="120">
        <f>IF($B39="X",ROUND($G38+($H38-$G38)*(($J$12-$I$6)/($J$6-$I$6)),0),"")</f>
      </c>
      <c r="N39" s="120">
        <f>IF($B39="X",ROUND($G40+($H40-$G40)*(($J$12-$I$6)/($J$6-$I$6)),0),"")</f>
      </c>
      <c r="O39" s="120">
        <f>IF($B39="X",$E38,"")</f>
      </c>
      <c r="P39" s="120">
        <f>IF($B39="X",$E40,"")</f>
      </c>
      <c r="Q39" s="120">
        <f>IF($C39="X",ROUND($G38+($H38-$G38)*(($J$12-$I$6)/($J$6-$I$6)),0),"")</f>
      </c>
      <c r="R39" s="120">
        <f>IF($C39="X",ROUND($G40+($H40-$G40)*(($J$12-$I$6)/($J$6-$I$6)),0),"")</f>
      </c>
      <c r="S39" s="120">
        <f>IF($C39="X",$E38,"")</f>
      </c>
      <c r="T39" s="120">
        <f>IF($C39="X",$E40,"")</f>
      </c>
      <c r="U39" s="120">
        <f>IF($D39="X",ROUND($G38+($H38-$G38)*(($J$12-$I$6)/($J$6-$I$6)),0),"")</f>
      </c>
      <c r="V39" s="120">
        <f>IF($D39="X",ROUND($G40+($H40-$G40)*(($J$12-$I$6)/($J$6-$I$6)),0),"")</f>
      </c>
      <c r="W39" s="120">
        <f>IF($D39="X",$E38,"")</f>
      </c>
      <c r="X39" s="120">
        <f>IF($D39="X",$E40,"")</f>
      </c>
    </row>
    <row r="40" spans="1:24" ht="10.5" customHeight="1">
      <c r="A40" s="106">
        <f>IF($G$4="","",IF($G$4=E40,"X",""))</f>
      </c>
      <c r="B40" s="106">
        <f>IF($G$7="","",IF($G$7=E40,"X",""))</f>
      </c>
      <c r="C40" s="106">
        <f>IF($G$10="","",IF($G$10=E40,"X",""))</f>
      </c>
      <c r="D40" s="106">
        <f>IF($G$13="","",IF($G$13=E40,"X",""))</f>
      </c>
      <c r="E40" s="106">
        <f>IF($F$14="X",'Tafel § 16'!B27,IF($F$15="X",'Tafel § 16'!B27,IF($F$16="X",'Tafel § 17'!B27,"")))</f>
        <v>250000</v>
      </c>
      <c r="F40" s="106"/>
      <c r="G40" s="106">
        <f>IF($F$14="X",'Tafel § 16'!C27,IF($F$15="X",'Tafel § 16'!C27,IF($F$16="X",'Tafel § 17'!C27,"")))</f>
        <v>19385</v>
      </c>
      <c r="H40" s="106">
        <f>IF($F$14="X",'Tafel § 16'!D27,IF($F$15="X",'Tafel § 16'!D27,IF($F$16="X",'Tafel § 17'!D27,"")))</f>
        <v>22384</v>
      </c>
      <c r="I40" s="106">
        <f>IF($A40="X",ROUND($G40+($H40-$G40)*(($J$12-$I$6)/($J$6-$I$6)),0),"")</f>
      </c>
      <c r="J40" s="106">
        <f>IF($A40="X",ROUND($G40+($H40-$G40)*(($J$12-$I$6)/($J$6-$I$6)),0),"")</f>
      </c>
      <c r="K40" s="106">
        <f>IF($A40="X",$E40,"")</f>
      </c>
      <c r="L40" s="106">
        <f>IF($A40="X",$E42,"")</f>
      </c>
      <c r="M40" s="106">
        <f>IF($B40="X",ROUND($G40+($H40-$G40)*(($J$12-$I$6)/($J$6-$I$6)),0),"")</f>
      </c>
      <c r="N40" s="106">
        <f>IF($B40="X",ROUND($G40+($H40-$G40)*(($J$12-$I$6)/($J$6-$I$6)),0),"")</f>
      </c>
      <c r="O40" s="106">
        <f>IF($B40="X",$E40,"")</f>
      </c>
      <c r="P40" s="106">
        <f>IF($B40="X",$E42,"")</f>
      </c>
      <c r="Q40" s="106">
        <f>IF($C40="X",ROUND($G40+($H40-$G40)*(($J$12-$I$6)/($J$6-$I$6)),0),"")</f>
      </c>
      <c r="R40" s="106">
        <f>IF($C40="X",ROUND($G40+($H40-$G40)*(($J$12-$I$6)/($J$6-$I$6)),0),"")</f>
      </c>
      <c r="S40" s="106">
        <f>IF($C40="X",$E40,"")</f>
      </c>
      <c r="T40" s="106">
        <f>IF($C40="X",$E42,"")</f>
      </c>
      <c r="U40" s="106">
        <f>IF($D40="X",ROUND($G40+($H40-$G40)*(($J$12-$I$6)/($J$6-$I$6)),0),"")</f>
      </c>
      <c r="V40" s="106">
        <f>IF($D40="X",ROUND($G40+($H40-$G40)*(($J$12-$I$6)/($J$6-$I$6)),0),"")</f>
      </c>
      <c r="W40" s="106">
        <f>IF($D40="X",$E40,"")</f>
      </c>
      <c r="X40" s="106">
        <f>IF($D40="X",$E42,"")</f>
      </c>
    </row>
    <row r="41" spans="1:24" ht="10.5" customHeight="1">
      <c r="A41" s="99">
        <f>IF($G$4=$E40,"",IF($G$4=$E42,"",IF($G$4&gt;=$E40,IF($G$4&lt;=$E42,"X",""),"")))</f>
      </c>
      <c r="B41" s="99">
        <f>IF($G$7=$E40,"",IF($G$7=$E42,"",IF($G$7&gt;=$E40,IF($G$7&lt;=$E42,"X",""),"")))</f>
      </c>
      <c r="C41" s="99">
        <f>IF($G$10=$E40,"",IF($G$10=$E42,"",IF($G$10&gt;=$E40,IF($G$10&lt;=$E42,"X",""),"")))</f>
      </c>
      <c r="D41" s="99">
        <f>IF($G$13=$E40,"",IF($G$13=$E42,"",IF($G$13&gt;=$E40,IF($G$13&lt;=$E42,"X",""),"")))</f>
      </c>
      <c r="I41" s="120">
        <f>IF($A41="X",ROUND($G40+($H40-$G40)*(($J$12-$I$6)/($J$6-$I$6)),0),"")</f>
      </c>
      <c r="J41" s="120">
        <f>IF($A41="X",ROUND($G42+($H42-$G42)*(($J$12-$I$6)/($J$6-$I$6)),0),"")</f>
      </c>
      <c r="K41" s="120">
        <f>IF($A41="X",$E40,"")</f>
      </c>
      <c r="L41" s="120">
        <f>IF($A41="X",$E42,"")</f>
      </c>
      <c r="M41" s="120">
        <f>IF($B41="X",ROUND($G40+($H40-$G40)*(($J$12-$I$6)/($J$6-$I$6)),0),"")</f>
      </c>
      <c r="N41" s="120">
        <f>IF($B41="X",ROUND($G42+($H42-$G42)*(($J$12-$I$6)/($J$6-$I$6)),0),"")</f>
      </c>
      <c r="O41" s="120">
        <f>IF($B41="X",$E40,"")</f>
      </c>
      <c r="P41" s="120">
        <f>IF($B41="X",$E42,"")</f>
      </c>
      <c r="Q41" s="120">
        <f>IF($C41="X",ROUND($G40+($H40-$G40)*(($J$12-$I$6)/($J$6-$I$6)),0),"")</f>
      </c>
      <c r="R41" s="120">
        <f>IF($C41="X",ROUND($G42+($H42-$G42)*(($J$12-$I$6)/($J$6-$I$6)),0),"")</f>
      </c>
      <c r="S41" s="120">
        <f>IF($C41="X",$E40,"")</f>
      </c>
      <c r="T41" s="120">
        <f>IF($C41="X",$E42,"")</f>
      </c>
      <c r="U41" s="120">
        <f>IF($D41="X",ROUND($G40+($H40-$G40)*(($J$12-$I$6)/($J$6-$I$6)),0),"")</f>
      </c>
      <c r="V41" s="120">
        <f>IF($D41="X",ROUND($G42+($H42-$G42)*(($J$12-$I$6)/($J$6-$I$6)),0),"")</f>
      </c>
      <c r="W41" s="120">
        <f>IF($D41="X",$E40,"")</f>
      </c>
      <c r="X41" s="120">
        <f>IF($D41="X",$E42,"")</f>
      </c>
    </row>
    <row r="42" spans="1:24" ht="10.5" customHeight="1">
      <c r="A42" s="106">
        <f>IF($G$4="","",IF($G$4=E42,"X",""))</f>
      </c>
      <c r="B42" s="106">
        <f>IF($G$7="","",IF($G$7=E42,"X",""))</f>
      </c>
      <c r="C42" s="106">
        <f>IF($G$10="","",IF($G$10=E42,"X",""))</f>
      </c>
      <c r="D42" s="106">
        <f>IF($G$13="","",IF($G$13=E42,"X",""))</f>
      </c>
      <c r="E42" s="106">
        <f>IF($F$14="X",'Tafel § 16'!B29,IF($F$15="X",'Tafel § 16'!B29,IF($F$16="X",'Tafel § 17'!B29,"")))</f>
        <v>300000</v>
      </c>
      <c r="F42" s="106"/>
      <c r="G42" s="106">
        <f>IF($F$14="X",'Tafel § 16'!C29,IF($F$15="X",'Tafel § 16'!C29,IF($F$16="X",'Tafel § 17'!C29,"")))</f>
        <v>22484</v>
      </c>
      <c r="H42" s="106">
        <f>IF($F$14="X",'Tafel § 16'!D29,IF($F$15="X",'Tafel § 16'!D29,IF($F$16="X",'Tafel § 17'!D29,"")))</f>
        <v>25983</v>
      </c>
      <c r="I42" s="106">
        <f>IF($A42="X",ROUND($G42+($H42-$G42)*(($J$12-$I$6)/($J$6-$I$6)),0),"")</f>
      </c>
      <c r="J42" s="106">
        <f>IF($A42="X",ROUND($G42+($H42-$G42)*(($J$12-$I$6)/($J$6-$I$6)),0),"")</f>
      </c>
      <c r="K42" s="106">
        <f>IF($A42="X",$E42,"")</f>
      </c>
      <c r="L42" s="106">
        <f>IF($A42="X",$E44,"")</f>
      </c>
      <c r="M42" s="106">
        <f>IF($B42="X",ROUND($G42+($H42-$G42)*(($J$12-$I$6)/($J$6-$I$6)),0),"")</f>
      </c>
      <c r="N42" s="106">
        <f>IF($B42="X",ROUND($G42+($H42-$G42)*(($J$12-$I$6)/($J$6-$I$6)),0),"")</f>
      </c>
      <c r="O42" s="106">
        <f>IF($B42="X",$E42,"")</f>
      </c>
      <c r="P42" s="106">
        <f>IF($B42="X",$E44,"")</f>
      </c>
      <c r="Q42" s="106">
        <f>IF($C42="X",ROUND($G42+($H42-$G42)*(($J$12-$I$6)/($J$6-$I$6)),0),"")</f>
      </c>
      <c r="R42" s="106">
        <f>IF($C42="X",ROUND($G42+($H42-$G42)*(($J$12-$I$6)/($J$6-$I$6)),0),"")</f>
      </c>
      <c r="S42" s="106">
        <f>IF($C42="X",$E42,"")</f>
      </c>
      <c r="T42" s="106">
        <f>IF($C42="X",$E44,"")</f>
      </c>
      <c r="U42" s="106">
        <f>IF($D42="X",ROUND($G42+($H42-$G42)*(($J$12-$I$6)/($J$6-$I$6)),0),"")</f>
      </c>
      <c r="V42" s="106">
        <f>IF($D42="X",ROUND($G42+($H42-$G42)*(($J$12-$I$6)/($J$6-$I$6)),0),"")</f>
      </c>
      <c r="W42" s="106">
        <f>IF($D42="X",$E42,"")</f>
      </c>
      <c r="X42" s="106">
        <f>IF($D42="X",$E44,"")</f>
      </c>
    </row>
    <row r="43" spans="1:24" ht="10.5" customHeight="1">
      <c r="A43" s="99">
        <f>IF($G$4=$E42,"",IF($G$4=$E44,"",IF($G$4&gt;=$E42,IF($G$4&lt;=$E44,"X",""),"")))</f>
      </c>
      <c r="B43" s="99">
        <f>IF($G$7=$E42,"",IF($G$7=$E44,"",IF($G$7&gt;=$E42,IF($G$7&lt;=$E44,"X",""),"")))</f>
      </c>
      <c r="C43" s="99">
        <f>IF($G$10=$E42,"",IF($G$10=$E44,"",IF($G$10&gt;=$E42,IF($G$10&lt;=$E44,"X",""),"")))</f>
      </c>
      <c r="D43" s="99">
        <f>IF($G$13=$E42,"",IF($G$13=$E44,"",IF($G$13&gt;=$E42,IF($G$13&lt;=$E44,"X",""),"")))</f>
      </c>
      <c r="I43" s="120">
        <f>IF($A43="X",ROUND($G42+($H42-$G42)*(($J$12-$I$6)/($J$6-$I$6)),0),"")</f>
      </c>
      <c r="J43" s="120">
        <f>IF($A43="X",ROUND($G44+($H44-$G44)*(($J$12-$I$6)/($J$6-$I$6)),0),"")</f>
      </c>
      <c r="K43" s="120">
        <f>IF($A43="X",$E42,"")</f>
      </c>
      <c r="L43" s="120">
        <f>IF($A43="X",$E44,"")</f>
      </c>
      <c r="M43" s="120">
        <f>IF($B43="X",ROUND($G42+($H42-$G42)*(($J$12-$I$6)/($J$6-$I$6)),0),"")</f>
      </c>
      <c r="N43" s="120">
        <f>IF($B43="X",ROUND($G44+($H44-$G44)*(($J$12-$I$6)/($J$6-$I$6)),0),"")</f>
      </c>
      <c r="O43" s="120">
        <f>IF($B43="X",$E42,"")</f>
      </c>
      <c r="P43" s="120">
        <f>IF($B43="X",$E44,"")</f>
      </c>
      <c r="Q43" s="120">
        <f>IF($C43="X",ROUND($G42+($H42-$G42)*(($J$12-$I$6)/($J$6-$I$6)),0),"")</f>
      </c>
      <c r="R43" s="120">
        <f>IF($C43="X",ROUND($G44+($H44-$G44)*(($J$12-$I$6)/($J$6-$I$6)),0),"")</f>
      </c>
      <c r="S43" s="120">
        <f>IF($C43="X",$E42,"")</f>
      </c>
      <c r="T43" s="120">
        <f>IF($C43="X",$E44,"")</f>
      </c>
      <c r="U43" s="120">
        <f>IF($D43="X",ROUND($G42+($H42-$G42)*(($J$12-$I$6)/($J$6-$I$6)),0),"")</f>
      </c>
      <c r="V43" s="120">
        <f>IF($D43="X",ROUND($G44+($H44-$G44)*(($J$12-$I$6)/($J$6-$I$6)),0),"")</f>
      </c>
      <c r="W43" s="120">
        <f>IF($D43="X",$E42,"")</f>
      </c>
      <c r="X43" s="120">
        <f>IF($D43="X",$E44,"")</f>
      </c>
    </row>
    <row r="44" spans="1:24" ht="10.5" customHeight="1">
      <c r="A44" s="106">
        <f>IF($G$4="","",IF($G$4=E44,"X",""))</f>
      </c>
      <c r="B44" s="106">
        <f>IF($G$7="","",IF($G$7=E44,"X",""))</f>
      </c>
      <c r="C44" s="106">
        <f>IF($G$10="","",IF($G$10=E44,"X",""))</f>
      </c>
      <c r="D44" s="106">
        <f>IF($G$13="","",IF($G$13=E44,"X",""))</f>
      </c>
      <c r="E44" s="106">
        <f>IF($F$14="X",'Tafel § 16'!B31,IF($F$15="X",'Tafel § 16'!B31,IF($F$16="X",'Tafel § 17'!B31,"")))</f>
        <v>350000</v>
      </c>
      <c r="F44" s="106"/>
      <c r="G44" s="106">
        <f>IF($F$14="X",'Tafel § 16'!C31,IF($F$15="X",'Tafel § 16'!C31,IF($F$16="X",'Tafel § 17'!C31,"")))</f>
        <v>25060</v>
      </c>
      <c r="H44" s="106">
        <f>IF($F$14="X",'Tafel § 16'!D31,IF($F$15="X",'Tafel § 16'!D31,IF($F$16="X",'Tafel § 17'!D31,"")))</f>
        <v>29131</v>
      </c>
      <c r="I44" s="106">
        <f>IF($A44="X",ROUND($G44+($H44-$G44)*(($J$12-$I$6)/($J$6-$I$6)),0),"")</f>
      </c>
      <c r="J44" s="106">
        <f>IF($A44="X",ROUND($G44+($H44-$G44)*(($J$12-$I$6)/($J$6-$I$6)),0),"")</f>
      </c>
      <c r="K44" s="106">
        <f>IF($A44="X",$E44,"")</f>
      </c>
      <c r="L44" s="106">
        <f>IF($A44="X",$E46,"")</f>
      </c>
      <c r="M44" s="106">
        <f>IF($B44="X",ROUND($G44+($H44-$G44)*(($J$12-$I$6)/($J$6-$I$6)),0),"")</f>
      </c>
      <c r="N44" s="106">
        <f>IF($B44="X",ROUND($G44+($H44-$G44)*(($J$12-$I$6)/($J$6-$I$6)),0),"")</f>
      </c>
      <c r="O44" s="106">
        <f>IF($B44="X",$E44,"")</f>
      </c>
      <c r="P44" s="106">
        <f>IF($B44="X",$E46,"")</f>
      </c>
      <c r="Q44" s="106">
        <f>IF($C44="X",ROUND($G44+($H44-$G44)*(($J$12-$I$6)/($J$6-$I$6)),0),"")</f>
      </c>
      <c r="R44" s="106">
        <f>IF($C44="X",ROUND($G44+($H44-$G44)*(($J$12-$I$6)/($J$6-$I$6)),0),"")</f>
      </c>
      <c r="S44" s="106">
        <f>IF($C44="X",$E44,"")</f>
      </c>
      <c r="T44" s="106">
        <f>IF($C44="X",$E46,"")</f>
      </c>
      <c r="U44" s="106">
        <f>IF($D44="X",ROUND($G44+($H44-$G44)*(($J$12-$I$6)/($J$6-$I$6)),0),"")</f>
      </c>
      <c r="V44" s="106">
        <f>IF($D44="X",ROUND($G44+($H44-$G44)*(($J$12-$I$6)/($J$6-$I$6)),0),"")</f>
      </c>
      <c r="W44" s="106">
        <f>IF($D44="X",$E44,"")</f>
      </c>
      <c r="X44" s="106">
        <f>IF($D44="X",$E46,"")</f>
      </c>
    </row>
    <row r="45" spans="1:24" ht="10.5" customHeight="1">
      <c r="A45" s="99">
        <f>IF($G$4=$E44,"",IF($G$4=$E46,"",IF($G$4&gt;=$E44,IF($G$4&lt;=$E46,"X",""),"")))</f>
      </c>
      <c r="B45" s="99">
        <f>IF($G$7=$E44,"",IF($G$7=$E46,"",IF($G$7&gt;=$E44,IF($G$7&lt;=$E46,"X",""),"")))</f>
      </c>
      <c r="C45" s="99">
        <f>IF($G$10=$E44,"",IF($G$10=$E46,"",IF($G$10&gt;=$E44,IF($G$10&lt;=$E46,"X",""),"")))</f>
      </c>
      <c r="D45" s="99">
        <f>IF($G$13=$E44,"",IF($G$13=$E46,"",IF($G$13&gt;=$E44,IF($G$13&lt;=$E46,"X",""),"")))</f>
      </c>
      <c r="I45" s="120">
        <f>IF($A45="X",ROUND($G44+($H44-$G44)*(($J$12-$I$6)/($J$6-$I$6)),0),"")</f>
      </c>
      <c r="J45" s="120">
        <f>IF($A45="X",ROUND($G46+($H46-$G46)*(($J$12-$I$6)/($J$6-$I$6)),0),"")</f>
      </c>
      <c r="K45" s="120">
        <f>IF($A45="X",$E44,"")</f>
      </c>
      <c r="L45" s="120">
        <f>IF($A45="X",$E46,"")</f>
      </c>
      <c r="M45" s="120">
        <f>IF($B45="X",ROUND($G44+($H44-$G44)*(($J$12-$I$6)/($J$6-$I$6)),0),"")</f>
      </c>
      <c r="N45" s="120">
        <f>IF($B45="X",ROUND($G46+($H46-$G46)*(($J$12-$I$6)/($J$6-$I$6)),0),"")</f>
      </c>
      <c r="O45" s="120">
        <f>IF($B45="X",$E44,"")</f>
      </c>
      <c r="P45" s="120">
        <f>IF($B45="X",$E46,"")</f>
      </c>
      <c r="Q45" s="120">
        <f>IF($C45="X",ROUND($G44+($H44-$G44)*(($J$12-$I$6)/($J$6-$I$6)),0),"")</f>
      </c>
      <c r="R45" s="120">
        <f>IF($C45="X",ROUND($G46+($H46-$G46)*(($J$12-$I$6)/($J$6-$I$6)),0),"")</f>
      </c>
      <c r="S45" s="120">
        <f>IF($C45="X",$E44,"")</f>
      </c>
      <c r="T45" s="120">
        <f>IF($C45="X",$E46,"")</f>
      </c>
      <c r="U45" s="120">
        <f>IF($D45="X",ROUND($G44+($H44-$G44)*(($J$12-$I$6)/($J$6-$I$6)),0),"")</f>
      </c>
      <c r="V45" s="120">
        <f>IF($D45="X",ROUND($G46+($H46-$G46)*(($J$12-$I$6)/($J$6-$I$6)),0),"")</f>
      </c>
      <c r="W45" s="120">
        <f>IF($D45="X",$E44,"")</f>
      </c>
      <c r="X45" s="120">
        <f>IF($D45="X",$E46,"")</f>
      </c>
    </row>
    <row r="46" spans="1:24" ht="10.5" customHeight="1">
      <c r="A46" s="106">
        <f>IF($G$4="","",IF($G$4=E46,"X",""))</f>
      </c>
      <c r="B46" s="106">
        <f>IF($G$7="","",IF($G$7=E46,"X",""))</f>
      </c>
      <c r="C46" s="106">
        <f>IF($G$10="","",IF($G$10=E46,"X",""))</f>
      </c>
      <c r="D46" s="106">
        <f>IF($G$13="","",IF($G$13=E46,"X",""))</f>
      </c>
      <c r="E46" s="106">
        <f>IF($F$14="X",'Tafel § 16'!B33,IF($F$15="X",'Tafel § 16'!B33,IF($F$16="X",'Tafel § 17'!B33,"")))</f>
        <v>400000</v>
      </c>
      <c r="F46" s="106"/>
      <c r="G46" s="106">
        <f>IF($F$14="X",'Tafel § 16'!C33,IF($F$15="X",'Tafel § 16'!C33,IF($F$16="X",'Tafel § 17'!C33,"")))</f>
        <v>27272</v>
      </c>
      <c r="H46" s="106">
        <f>IF($F$14="X",'Tafel § 16'!D33,IF($F$15="X",'Tafel § 16'!D33,IF($F$16="X",'Tafel § 17'!D33,"")))</f>
        <v>31922</v>
      </c>
      <c r="I46" s="106">
        <f>IF($A46="X",ROUND($G46+($H46-$G46)*(($J$12-$I$6)/($J$6-$I$6)),0),"")</f>
      </c>
      <c r="J46" s="106">
        <f>IF($A46="X",ROUND($G46+($H46-$G46)*(($J$12-$I$6)/($J$6-$I$6)),0),"")</f>
      </c>
      <c r="K46" s="106">
        <f>IF($A46="X",$E46,"")</f>
      </c>
      <c r="L46" s="106">
        <f>IF($A46="X",$E48,"")</f>
      </c>
      <c r="M46" s="106">
        <f>IF($B46="X",ROUND($G46+($H46-$G46)*(($J$12-$I$6)/($J$6-$I$6)),0),"")</f>
      </c>
      <c r="N46" s="106">
        <f>IF($B46="X",ROUND($G46+($H46-$G46)*(($J$12-$I$6)/($J$6-$I$6)),0),"")</f>
      </c>
      <c r="O46" s="106">
        <f>IF($B46="X",$E46,"")</f>
      </c>
      <c r="P46" s="106">
        <f>IF($B46="X",$E48,"")</f>
      </c>
      <c r="Q46" s="106">
        <f>IF($C46="X",ROUND($G46+($H46-$G46)*(($J$12-$I$6)/($J$6-$I$6)),0),"")</f>
      </c>
      <c r="R46" s="106">
        <f>IF($C46="X",ROUND($G46+($H46-$G46)*(($J$12-$I$6)/($J$6-$I$6)),0),"")</f>
      </c>
      <c r="S46" s="106">
        <f>IF($C46="X",$E46,"")</f>
      </c>
      <c r="T46" s="106">
        <f>IF($C46="X",$E48,"")</f>
      </c>
      <c r="U46" s="106">
        <f>IF($D46="X",ROUND($G46+($H46-$G46)*(($J$12-$I$6)/($J$6-$I$6)),0),"")</f>
      </c>
      <c r="V46" s="106">
        <f>IF($D46="X",ROUND($G46+($H46-$G46)*(($J$12-$I$6)/($J$6-$I$6)),0),"")</f>
      </c>
      <c r="W46" s="106">
        <f>IF($D46="X",$E46,"")</f>
      </c>
      <c r="X46" s="106">
        <f>IF($D46="X",$E48,"")</f>
      </c>
    </row>
    <row r="47" spans="1:24" ht="10.5" customHeight="1">
      <c r="A47" s="99">
        <f>IF($G$4=$E46,"",IF($G$4=$E48,"",IF($G$4&gt;=$E46,IF($G$4&lt;=$E48,"X",""),"")))</f>
      </c>
      <c r="B47" s="99">
        <f>IF($G$7=$E46,"",IF($G$7=$E48,"",IF($G$7&gt;=$E46,IF($G$7&lt;=$E48,"X",""),"")))</f>
      </c>
      <c r="C47" s="99">
        <f>IF($G$10=$E46,"",IF($G$10=$E48,"",IF($G$10&gt;=$E46,IF($G$10&lt;=$E48,"X",""),"")))</f>
      </c>
      <c r="D47" s="99">
        <f>IF($G$13=$E46,"",IF($G$13=$E48,"",IF($G$13&gt;=$E46,IF($G$13&lt;=$E48,"X",""),"")))</f>
      </c>
      <c r="I47" s="120">
        <f>IF($A47="X",ROUND($G46+($H46-$G46)*(($J$12-$I$6)/($J$6-$I$6)),0),"")</f>
      </c>
      <c r="J47" s="120">
        <f>IF($A47="X",ROUND($G48+($H48-$G48)*(($J$12-$I$6)/($J$6-$I$6)),0),"")</f>
      </c>
      <c r="K47" s="120">
        <f>IF($A47="X",$E46,"")</f>
      </c>
      <c r="L47" s="120">
        <f>IF($A47="X",$E48,"")</f>
      </c>
      <c r="M47" s="120">
        <f>IF($B47="X",ROUND($G46+($H46-$G46)*(($J$12-$I$6)/($J$6-$I$6)),0),"")</f>
      </c>
      <c r="N47" s="120">
        <f>IF($B47="X",ROUND($G48+($H48-$G48)*(($J$12-$I$6)/($J$6-$I$6)),0),"")</f>
      </c>
      <c r="O47" s="120">
        <f>IF($B47="X",$E46,"")</f>
      </c>
      <c r="P47" s="120">
        <f>IF($B47="X",$E48,"")</f>
      </c>
      <c r="Q47" s="120">
        <f>IF($C47="X",ROUND($G46+($H46-$G46)*(($J$12-$I$6)/($J$6-$I$6)),0),"")</f>
      </c>
      <c r="R47" s="120">
        <f>IF($C47="X",ROUND($G48+($H48-$G48)*(($J$12-$I$6)/($J$6-$I$6)),0),"")</f>
      </c>
      <c r="S47" s="120">
        <f>IF($C47="X",$E46,"")</f>
      </c>
      <c r="T47" s="120">
        <f>IF($C47="X",$E48,"")</f>
      </c>
      <c r="U47" s="120">
        <f>IF($D47="X",ROUND($G46+($H46-$G46)*(($J$12-$I$6)/($J$6-$I$6)),0),"")</f>
      </c>
      <c r="V47" s="120">
        <f>IF($D47="X",ROUND($G48+($H48-$G48)*(($J$12-$I$6)/($J$6-$I$6)),0),"")</f>
      </c>
      <c r="W47" s="120">
        <f>IF($D47="X",$E46,"")</f>
      </c>
      <c r="X47" s="120">
        <f>IF($D47="X",$E48,"")</f>
      </c>
    </row>
    <row r="48" spans="1:24" ht="10.5" customHeight="1">
      <c r="A48" s="106">
        <f>IF($G$4="","",IF($G$4=E48,"X",""))</f>
      </c>
      <c r="B48" s="106">
        <f>IF($G$7="","",IF($G$7=E48,"X",""))</f>
      </c>
      <c r="C48" s="106">
        <f>IF($G$10="","",IF($G$10=E48,"X",""))</f>
      </c>
      <c r="D48" s="106">
        <f>IF($G$13="","",IF($G$13=E48,"X",""))</f>
      </c>
      <c r="E48" s="106">
        <f>IF($F$14="X",'Tafel § 16'!B35,IF($F$15="X",'Tafel § 16'!B35,IF($F$16="X",'Tafel § 17'!B35,"")))</f>
        <v>450000</v>
      </c>
      <c r="F48" s="106"/>
      <c r="G48" s="106">
        <f>IF($F$14="X",'Tafel § 16'!C35,IF($F$15="X",'Tafel § 16'!C35,IF($F$16="X",'Tafel § 17'!C35,"")))</f>
        <v>29144</v>
      </c>
      <c r="H48" s="106">
        <f>IF($F$14="X",'Tafel § 16'!D35,IF($F$15="X",'Tafel § 16'!D35,IF($F$16="X",'Tafel § 17'!D35,"")))</f>
        <v>34382</v>
      </c>
      <c r="I48" s="106">
        <f>IF($A48="X",ROUND($G48+($H48-$G48)*(($J$12-$I$6)/($J$6-$I$6)),0),"")</f>
      </c>
      <c r="J48" s="106">
        <f>IF($A48="X",ROUND($G48+($H48-$G48)*(($J$12-$I$6)/($J$6-$I$6)),0),"")</f>
      </c>
      <c r="K48" s="106">
        <f>IF($A48="X",$E48,"")</f>
      </c>
      <c r="L48" s="106">
        <f>IF($A48="X",$E50,"")</f>
      </c>
      <c r="M48" s="106">
        <f>IF($B48="X",ROUND($G48+($H48-$G48)*(($J$12-$I$6)/($J$6-$I$6)),0),"")</f>
      </c>
      <c r="N48" s="106">
        <f>IF($B48="X",ROUND($G48+($H48-$G48)*(($J$12-$I$6)/($J$6-$I$6)),0),"")</f>
      </c>
      <c r="O48" s="106">
        <f>IF($B48="X",$E48,"")</f>
      </c>
      <c r="P48" s="106">
        <f>IF($B48="X",$E50,"")</f>
      </c>
      <c r="Q48" s="106">
        <f>IF($C48="X",ROUND($G48+($H48-$G48)*(($J$12-$I$6)/($J$6-$I$6)),0),"")</f>
      </c>
      <c r="R48" s="106">
        <f>IF($C48="X",ROUND($G48+($H48-$G48)*(($J$12-$I$6)/($J$6-$I$6)),0),"")</f>
      </c>
      <c r="S48" s="106">
        <f>IF($C48="X",$E48,"")</f>
      </c>
      <c r="T48" s="106">
        <f>IF($C48="X",$E50,"")</f>
      </c>
      <c r="U48" s="106">
        <f>IF($D48="X",ROUND($G48+($H48-$G48)*(($J$12-$I$6)/($J$6-$I$6)),0),"")</f>
      </c>
      <c r="V48" s="106">
        <f>IF($D48="X",ROUND($G48+($H48-$G48)*(($J$12-$I$6)/($J$6-$I$6)),0),"")</f>
      </c>
      <c r="W48" s="106">
        <f>IF($D48="X",$E48,"")</f>
      </c>
      <c r="X48" s="106">
        <f>IF($D48="X",$E50,"")</f>
      </c>
    </row>
    <row r="49" spans="1:24" ht="10.5" customHeight="1">
      <c r="A49" s="99">
        <f>IF($G$4=$E48,"",IF($G$4=$E50,"",IF($G$4&gt;=$E48,IF($G$4&lt;=$E50,"X",""),"")))</f>
      </c>
      <c r="B49" s="99">
        <f>IF($G$7=$E48,"",IF($G$7=$E50,"",IF($G$7&gt;=$E48,IF($G$7&lt;=$E50,"X",""),"")))</f>
      </c>
      <c r="C49" s="99">
        <f>IF($G$10=$E48,"",IF($G$10=$E50,"",IF($G$10&gt;=$E48,IF($G$10&lt;=$E50,"X",""),"")))</f>
      </c>
      <c r="D49" s="99">
        <f>IF($G$13=$E48,"",IF($G$13=$E50,"",IF($G$13&gt;=$E48,IF($G$13&lt;=$E50,"X",""),"")))</f>
      </c>
      <c r="I49" s="120">
        <f>IF($A49="X",ROUND($G48+($H48-$G48)*(($J$12-$I$6)/($J$6-$I$6)),0),"")</f>
      </c>
      <c r="J49" s="120">
        <f>IF($A49="X",ROUND($G50+($H50-$G50)*(($J$12-$I$6)/($J$6-$I$6)),0),"")</f>
      </c>
      <c r="K49" s="120">
        <f>IF($A49="X",$E48,"")</f>
      </c>
      <c r="L49" s="120">
        <f>IF($A49="X",$E50,"")</f>
      </c>
      <c r="M49" s="120">
        <f>IF($B49="X",ROUND($G48+($H48-$G48)*(($J$12-$I$6)/($J$6-$I$6)),0),"")</f>
      </c>
      <c r="N49" s="120">
        <f>IF($B49="X",ROUND($G50+($H50-$G50)*(($J$12-$I$6)/($J$6-$I$6)),0),"")</f>
      </c>
      <c r="O49" s="120">
        <f>IF($B49="X",$E48,"")</f>
      </c>
      <c r="P49" s="120">
        <f>IF($B49="X",$E50,"")</f>
      </c>
      <c r="Q49" s="120">
        <f>IF($C49="X",ROUND($G48+($H48-$G48)*(($J$12-$I$6)/($J$6-$I$6)),0),"")</f>
      </c>
      <c r="R49" s="120">
        <f>IF($C49="X",ROUND($G50+($H50-$G50)*(($J$12-$I$6)/($J$6-$I$6)),0),"")</f>
      </c>
      <c r="S49" s="120">
        <f>IF($C49="X",$E48,"")</f>
      </c>
      <c r="T49" s="120">
        <f>IF($C49="X",$E50,"")</f>
      </c>
      <c r="U49" s="120">
        <f>IF($D49="X",ROUND($G48+($H48-$G48)*(($J$12-$I$6)/($J$6-$I$6)),0),"")</f>
      </c>
      <c r="V49" s="120">
        <f>IF($D49="X",ROUND($G50+($H50-$G50)*(($J$12-$I$6)/($J$6-$I$6)),0),"")</f>
      </c>
      <c r="W49" s="120">
        <f>IF($D49="X",$E48,"")</f>
      </c>
      <c r="X49" s="120">
        <f>IF($D49="X",$E50,"")</f>
      </c>
    </row>
    <row r="50" spans="1:24" ht="10.5" customHeight="1">
      <c r="A50" s="106">
        <f>IF($G$4="","",IF($G$4=E50,"X",""))</f>
      </c>
      <c r="B50" s="106">
        <f>IF($G$7="","",IF($G$7=E50,"X",""))</f>
      </c>
      <c r="C50" s="106">
        <f>IF($G$10="","",IF($G$10=E50,"X",""))</f>
      </c>
      <c r="D50" s="106">
        <f>IF($G$13="","",IF($G$13=E50,"X",""))</f>
      </c>
      <c r="E50" s="106">
        <f>IF($F$14="X",'Tafel § 16'!B37,IF($F$15="X",'Tafel § 16'!B37,IF($F$16="X",'Tafel § 17'!B37,"")))</f>
        <v>500000</v>
      </c>
      <c r="F50" s="106"/>
      <c r="G50" s="106">
        <f>IF($F$14="X",'Tafel § 16'!C37,IF($F$15="X",'Tafel § 16'!C37,IF($F$16="X",'Tafel § 17'!C37,"")))</f>
        <v>30671</v>
      </c>
      <c r="H50" s="106">
        <f>IF($F$14="X",'Tafel § 16'!D37,IF($F$15="X",'Tafel § 16'!D37,IF($F$16="X",'Tafel § 17'!D37,"")))</f>
        <v>36488</v>
      </c>
      <c r="I50" s="106">
        <f>IF($A50="X",ROUND($G50+($H50-$G50)*(($J$12-$I$6)/($J$6-$I$6)),0),"")</f>
      </c>
      <c r="J50" s="106">
        <f>IF($A50="X",ROUND($G50+($H50-$G50)*(($J$12-$I$6)/($J$6-$I$6)),0),"")</f>
      </c>
      <c r="K50" s="106">
        <f>IF($A50="X",$E50,"")</f>
      </c>
      <c r="L50" s="106">
        <f>IF($A50="X",$E52,"")</f>
      </c>
      <c r="M50" s="106">
        <f>IF($B50="X",ROUND($G50+($H50-$G50)*(($J$12-$I$6)/($J$6-$I$6)),0),"")</f>
      </c>
      <c r="N50" s="106">
        <f>IF($B50="X",ROUND($G50+($H50-$G50)*(($J$12-$I$6)/($J$6-$I$6)),0),"")</f>
      </c>
      <c r="O50" s="106">
        <f>IF($B50="X",$E50,"")</f>
      </c>
      <c r="P50" s="106">
        <f>IF($B50="X",$E52,"")</f>
      </c>
      <c r="Q50" s="106">
        <f>IF($C50="X",ROUND($G50+($H50-$G50)*(($J$12-$I$6)/($J$6-$I$6)),0),"")</f>
      </c>
      <c r="R50" s="106">
        <f>IF($C50="X",ROUND($G50+($H50-$G50)*(($J$12-$I$6)/($J$6-$I$6)),0),"")</f>
      </c>
      <c r="S50" s="106">
        <f>IF($C50="X",$E50,"")</f>
      </c>
      <c r="T50" s="106">
        <f>IF($C50="X",$E52,"")</f>
      </c>
      <c r="U50" s="106">
        <f>IF($D50="X",ROUND($G50+($H50-$G50)*(($J$12-$I$6)/($J$6-$I$6)),0),"")</f>
      </c>
      <c r="V50" s="106">
        <f>IF($D50="X",ROUND($G50+($H50-$G50)*(($J$12-$I$6)/($J$6-$I$6)),0),"")</f>
      </c>
      <c r="W50" s="106">
        <f>IF($D50="X",$E50,"")</f>
      </c>
      <c r="X50" s="106">
        <f>IF($D50="X",$E52,"")</f>
      </c>
    </row>
    <row r="51" spans="1:24" ht="10.5" customHeight="1">
      <c r="A51" s="99">
        <f>IF($G$4=$E50,"",IF($G$4=$E52,"",IF($G$4&gt;=$E50,IF($G$4&lt;=$E52,"X",""),"")))</f>
      </c>
      <c r="B51" s="99">
        <f>IF($G$7=$E50,"",IF($G$7=$E52,"",IF($G$7&gt;=$E50,IF($G$7&lt;=$E52,"X",""),"")))</f>
      </c>
      <c r="C51" s="99">
        <f>IF($G$10=$E50,"",IF($G$10=$E52,"",IF($G$10&gt;=$E50,IF($G$10&lt;=$E52,"X",""),"")))</f>
      </c>
      <c r="D51" s="99">
        <f>IF($G$13=$E50,"",IF($G$13=$E52,"",IF($G$13&gt;=$E50,IF($G$13&lt;=$E52,"X",""),"")))</f>
      </c>
      <c r="I51" s="120">
        <f>IF($A51="X",ROUND($G50+($H50-$G50)*(($J$12-$I$6)/($J$6-$I$6)),0),"")</f>
      </c>
      <c r="J51" s="120">
        <f>IF($A51="X",ROUND($G52+($H52-$G52)*(($J$12-$I$6)/($J$6-$I$6)),0),"")</f>
      </c>
      <c r="K51" s="120">
        <f>IF($A51="X",$E50,"")</f>
      </c>
      <c r="L51" s="120">
        <f>IF($A51="X",$E52,"")</f>
      </c>
      <c r="M51" s="120">
        <f>IF($B51="X",ROUND($G50+($H50-$G50)*(($J$12-$I$6)/($J$6-$I$6)),0),"")</f>
      </c>
      <c r="N51" s="120">
        <f>IF($B51="X",ROUND($G52+($H52-$G52)*(($J$12-$I$6)/($J$6-$I$6)),0),"")</f>
      </c>
      <c r="O51" s="120">
        <f>IF($B51="X",$E50,"")</f>
      </c>
      <c r="P51" s="120">
        <f>IF($B51="X",$E52,"")</f>
      </c>
      <c r="Q51" s="120">
        <f>IF($C51="X",ROUND($G50+($H50-$G50)*(($J$12-$I$6)/($J$6-$I$6)),0),"")</f>
      </c>
      <c r="R51" s="120">
        <f>IF($C51="X",ROUND($G52+($H52-$G52)*(($J$12-$I$6)/($J$6-$I$6)),0),"")</f>
      </c>
      <c r="S51" s="120">
        <f>IF($C51="X",$E50,"")</f>
      </c>
      <c r="T51" s="120">
        <f>IF($C51="X",$E52,"")</f>
      </c>
      <c r="U51" s="120">
        <f>IF($D51="X",ROUND($G50+($H50-$G50)*(($J$12-$I$6)/($J$6-$I$6)),0),"")</f>
      </c>
      <c r="V51" s="120">
        <f>IF($D51="X",ROUND($G52+($H52-$G52)*(($J$12-$I$6)/($J$6-$I$6)),0),"")</f>
      </c>
      <c r="W51" s="120">
        <f>IF($D51="X",$E50,"")</f>
      </c>
      <c r="X51" s="120">
        <f>IF($D51="X",$E52,"")</f>
      </c>
    </row>
    <row r="52" spans="1:24" ht="10.5" customHeight="1">
      <c r="A52" s="106">
        <f>IF($G$4="","",IF($G$4=E52,"X",""))</f>
      </c>
      <c r="B52" s="106">
        <f>IF($G$7="","",IF($G$7=E52,"X",""))</f>
      </c>
      <c r="C52" s="106">
        <f>IF($G$10="","",IF($G$10=E52,"X",""))</f>
      </c>
      <c r="D52" s="106">
        <f>IF($G$13="","",IF($G$13=E52,"X",""))</f>
      </c>
      <c r="E52" s="106">
        <f>IF($F$14="X",'Tafel § 16'!B39,IF($F$15="X",'Tafel § 16'!B39,IF($F$16="X",'Tafel § 17'!B39,"")))</f>
        <v>1000000</v>
      </c>
      <c r="F52" s="106"/>
      <c r="G52" s="106">
        <f>IF($F$14="X",'Tafel § 16'!C39,IF($F$15="X",'Tafel § 16'!C39,IF($F$16="X",'Tafel § 17'!C39,"")))</f>
        <v>55293</v>
      </c>
      <c r="H52" s="106">
        <f>IF($F$14="X",'Tafel § 16'!D39,IF($F$15="X",'Tafel § 16'!D39,IF($F$16="X",'Tafel § 17'!D39,"")))</f>
        <v>65535</v>
      </c>
      <c r="I52" s="106">
        <f>IF($A52="X",ROUND($G52+($H52-$G52)*(($J$12-$I$6)/($J$6-$I$6)),0),"")</f>
      </c>
      <c r="J52" s="106">
        <f>IF($A52="X",ROUND($G52+($H52-$G52)*(($J$12-$I$6)/($J$6-$I$6)),0),"")</f>
      </c>
      <c r="K52" s="106">
        <f>IF($A52="X",$E52,"")</f>
      </c>
      <c r="L52" s="106">
        <f>IF($A52="X",$E54,"")</f>
      </c>
      <c r="M52" s="106">
        <f>IF($B52="X",ROUND($G52+($H52-$G52)*(($J$12-$I$6)/($J$6-$I$6)),0),"")</f>
      </c>
      <c r="N52" s="106">
        <f>IF($B52="X",ROUND($G52+($H52-$G52)*(($J$12-$I$6)/($J$6-$I$6)),0),"")</f>
      </c>
      <c r="O52" s="106">
        <f>IF($B52="X",$E52,"")</f>
      </c>
      <c r="P52" s="106">
        <f>IF($B52="X",$E54,"")</f>
      </c>
      <c r="Q52" s="106">
        <f>IF($C52="X",ROUND($G52+($H52-$G52)*(($J$12-$I$6)/($J$6-$I$6)),0),"")</f>
      </c>
      <c r="R52" s="106">
        <f>IF($C52="X",ROUND($G52+($H52-$G52)*(($J$12-$I$6)/($J$6-$I$6)),0),"")</f>
      </c>
      <c r="S52" s="106">
        <f>IF($C52="X",$E52,"")</f>
      </c>
      <c r="T52" s="106">
        <f>IF($C52="X",$E54,"")</f>
      </c>
      <c r="U52" s="106">
        <f>IF($D52="X",ROUND($G52+($H52-$G52)*(($J$12-$I$6)/($J$6-$I$6)),0),"")</f>
      </c>
      <c r="V52" s="106">
        <f>IF($D52="X",ROUND($G52+($H52-$G52)*(($J$12-$I$6)/($J$6-$I$6)),0),"")</f>
      </c>
      <c r="W52" s="106">
        <f>IF($D52="X",$E52,"")</f>
      </c>
      <c r="X52" s="106">
        <f>IF($D52="X",$E54,"")</f>
      </c>
    </row>
    <row r="53" spans="1:24" ht="10.5" customHeight="1">
      <c r="A53" s="99">
        <f>IF($G$4=$E52,"",IF($G$4=$E54,"",IF($G$4&gt;=$E52,IF($G$4&lt;=$E54,"X",""),"")))</f>
      </c>
      <c r="B53" s="99">
        <f>IF($G$7=$E52,"",IF($G$7=$E54,"",IF($G$7&gt;=$E52,IF($G$7&lt;=$E54,"X",""),"")))</f>
      </c>
      <c r="C53" s="99">
        <f>IF($G$10=$E52,"",IF($G$10=$E54,"",IF($G$10&gt;=$E52,IF($G$10&lt;=$E54,"X",""),"")))</f>
      </c>
      <c r="D53" s="99">
        <f>IF($G$13=$E52,"",IF($G$13=$E54,"",IF($G$13&gt;=$E52,IF($G$13&lt;=$E54,"X",""),"")))</f>
      </c>
      <c r="I53" s="120">
        <f>IF($A53="X",ROUND($G52+($H52-$G52)*(($J$12-$I$6)/($J$6-$I$6)),0),"")</f>
      </c>
      <c r="J53" s="120">
        <f>IF($A53="X",ROUND($G54+($H54-$G54)*(($J$12-$I$6)/($J$6-$I$6)),0),"")</f>
      </c>
      <c r="K53" s="120">
        <f>IF($A53="X",$E52,"")</f>
      </c>
      <c r="L53" s="120">
        <f>IF($A53="X",$E54,"")</f>
      </c>
      <c r="M53" s="120">
        <f>IF($B53="X",ROUND($G52+($H52-$G52)*(($J$12-$I$6)/($J$6-$I$6)),0),"")</f>
      </c>
      <c r="N53" s="120">
        <f>IF($B53="X",ROUND($G54+($H54-$G54)*(($J$12-$I$6)/($J$6-$I$6)),0),"")</f>
      </c>
      <c r="O53" s="120">
        <f>IF($B53="X",$E52,"")</f>
      </c>
      <c r="P53" s="120">
        <f>IF($B53="X",$E54,"")</f>
      </c>
      <c r="Q53" s="120">
        <f>IF($C53="X",ROUND($G52+($H52-$G52)*(($J$12-$I$6)/($J$6-$I$6)),0),"")</f>
      </c>
      <c r="R53" s="120">
        <f>IF($C53="X",ROUND($G54+($H54-$G54)*(($J$12-$I$6)/($J$6-$I$6)),0),"")</f>
      </c>
      <c r="S53" s="120">
        <f>IF($C53="X",$E52,"")</f>
      </c>
      <c r="T53" s="120">
        <f>IF($C53="X",$E54,"")</f>
      </c>
      <c r="U53" s="120">
        <f>IF($D53="X",ROUND($G52+($H52-$G52)*(($J$12-$I$6)/($J$6-$I$6)),0),"")</f>
      </c>
      <c r="V53" s="120">
        <f>IF($D53="X",ROUND($G54+($H54-$G54)*(($J$12-$I$6)/($J$6-$I$6)),0),"")</f>
      </c>
      <c r="W53" s="120">
        <f>IF($D53="X",$E52,"")</f>
      </c>
      <c r="X53" s="120">
        <f>IF($D53="X",$E54,"")</f>
      </c>
    </row>
    <row r="54" spans="1:24" ht="10.5" customHeight="1">
      <c r="A54" s="106">
        <f>IF($G$4="","",IF($G$4=E54,"X",""))</f>
      </c>
      <c r="B54" s="106">
        <f>IF($G$7="","",IF($G$7=E54,"X",""))</f>
      </c>
      <c r="C54" s="106">
        <f>IF($G$10="","",IF($G$10=E54,"X",""))</f>
      </c>
      <c r="D54" s="106">
        <f>IF($G$13="","",IF($G$13=E54,"X",""))</f>
      </c>
      <c r="E54" s="106">
        <f>IF($F$14="X",'Tafel § 16'!B41,IF($F$15="X",'Tafel § 16'!B41,IF($F$16="X",'Tafel § 17'!B41,"")))</f>
        <v>1500000</v>
      </c>
      <c r="F54" s="106"/>
      <c r="G54" s="106">
        <f>IF($F$14="X",'Tafel § 16'!C41,IF($F$15="X",'Tafel § 16'!C41,IF($F$16="X",'Tafel § 17'!C41,"")))</f>
        <v>80167</v>
      </c>
      <c r="H54" s="106">
        <f>IF($F$14="X",'Tafel § 16'!D41,IF($F$15="X",'Tafel § 16'!D41,IF($F$16="X",'Tafel § 17'!D41,"")))</f>
        <v>94804</v>
      </c>
      <c r="I54" s="106">
        <f>IF($A54="X",ROUND($G54+($H54-$G54)*(($J$12-$I$6)/($J$6-$I$6)),0),"")</f>
      </c>
      <c r="J54" s="106">
        <f>IF($A54="X",ROUND($G54+($H54-$G54)*(($J$12-$I$6)/($J$6-$I$6)),0),"")</f>
      </c>
      <c r="K54" s="106">
        <f>IF($A54="X",$E54,"")</f>
      </c>
      <c r="L54" s="106">
        <f>IF($A54="X",$E56,"")</f>
      </c>
      <c r="M54" s="106">
        <f>IF($B54="X",ROUND($G54+($H54-$G54)*(($J$12-$I$6)/($J$6-$I$6)),0),"")</f>
      </c>
      <c r="N54" s="106">
        <f>IF($B54="X",ROUND($G54+($H54-$G54)*(($J$12-$I$6)/($J$6-$I$6)),0),"")</f>
      </c>
      <c r="O54" s="106">
        <f>IF($B54="X",$E54,"")</f>
      </c>
      <c r="P54" s="106">
        <f>IF($B54="X",$E56,"")</f>
      </c>
      <c r="Q54" s="106">
        <f>IF($C54="X",ROUND($G54+($H54-$G54)*(($J$12-$I$6)/($J$6-$I$6)),0),"")</f>
      </c>
      <c r="R54" s="106">
        <f>IF($C54="X",ROUND($G54+($H54-$G54)*(($J$12-$I$6)/($J$6-$I$6)),0),"")</f>
      </c>
      <c r="S54" s="106">
        <f>IF($C54="X",$E54,"")</f>
      </c>
      <c r="T54" s="106">
        <f>IF($C54="X",$E56,"")</f>
      </c>
      <c r="U54" s="106">
        <f>IF($D54="X",ROUND($G54+($H54-$G54)*(($J$12-$I$6)/($J$6-$I$6)),0),"")</f>
      </c>
      <c r="V54" s="106">
        <f>IF($D54="X",ROUND($G54+($H54-$G54)*(($J$12-$I$6)/($J$6-$I$6)),0),"")</f>
      </c>
      <c r="W54" s="106">
        <f>IF($D54="X",$E54,"")</f>
      </c>
      <c r="X54" s="106">
        <f>IF($D54="X",$E56,"")</f>
      </c>
    </row>
    <row r="55" spans="1:24" ht="10.5" customHeight="1">
      <c r="A55" s="99">
        <f>IF($G$4=$E54,"",IF($G$4=$E56,"",IF($G$4&gt;=$E54,IF($G$4&lt;=$E56,"X",""),"")))</f>
      </c>
      <c r="B55" s="99">
        <f>IF($G$7=$E54,"",IF($G$7=$E56,"",IF($G$7&gt;=$E54,IF($G$7&lt;=$E56,"X",""),"")))</f>
      </c>
      <c r="C55" s="99">
        <f>IF($G$10=$E54,"",IF($G$10=$E56,"",IF($G$10&gt;=$E54,IF($G$10&lt;=$E56,"X",""),"")))</f>
      </c>
      <c r="D55" s="99">
        <f>IF($G$13=$E54,"",IF($G$13=$E56,"",IF($G$13&gt;=$E54,IF($G$13&lt;=$E56,"X",""),"")))</f>
      </c>
      <c r="I55" s="120">
        <f>IF($A55="X",ROUND($G54+($H54-$G54)*(($J$12-$I$6)/($J$6-$I$6)),0),"")</f>
      </c>
      <c r="J55" s="120">
        <f>IF($A55="X",ROUND($G56+($H56-$G56)*(($J$12-$I$6)/($J$6-$I$6)),0),"")</f>
      </c>
      <c r="K55" s="120">
        <f>IF($A55="X",$E54,"")</f>
      </c>
      <c r="L55" s="120">
        <f>IF($A55="X",$E56,"")</f>
      </c>
      <c r="M55" s="120">
        <f>IF($B55="X",ROUND($G54+($H54-$G54)*(($J$12-$I$6)/($J$6-$I$6)),0),"")</f>
      </c>
      <c r="N55" s="120">
        <f>IF($B55="X",ROUND($G56+($H56-$G56)*(($J$12-$I$6)/($J$6-$I$6)),0),"")</f>
      </c>
      <c r="O55" s="120">
        <f>IF($B55="X",$E54,"")</f>
      </c>
      <c r="P55" s="120">
        <f>IF($B55="X",$E56,"")</f>
      </c>
      <c r="Q55" s="120">
        <f>IF($C55="X",ROUND($G54+($H54-$G54)*(($J$12-$I$6)/($J$6-$I$6)),0),"")</f>
      </c>
      <c r="R55" s="120">
        <f>IF($C55="X",ROUND($G56+($H56-$G56)*(($J$12-$I$6)/($J$6-$I$6)),0),"")</f>
      </c>
      <c r="S55" s="120">
        <f>IF($C55="X",$E54,"")</f>
      </c>
      <c r="T55" s="120">
        <f>IF($C55="X",$E56,"")</f>
      </c>
      <c r="U55" s="120">
        <f>IF($D55="X",ROUND($G54+($H54-$G54)*(($J$12-$I$6)/($J$6-$I$6)),0),"")</f>
      </c>
      <c r="V55" s="120">
        <f>IF($D55="X",ROUND($G56+($H56-$G56)*(($J$12-$I$6)/($J$6-$I$6)),0),"")</f>
      </c>
      <c r="W55" s="120">
        <f>IF($D55="X",$E54,"")</f>
      </c>
      <c r="X55" s="120">
        <f>IF($D55="X",$E56,"")</f>
      </c>
    </row>
    <row r="56" spans="1:24" ht="10.5" customHeight="1">
      <c r="A56" s="106">
        <f>IF($G$4="","",IF($G$4=E56,"X",""))</f>
      </c>
      <c r="B56" s="106">
        <f>IF($G$7="","",IF($G$7=E56,"X",""))</f>
      </c>
      <c r="C56" s="106">
        <f>IF($G$10="","",IF($G$10=E56,"X",""))</f>
      </c>
      <c r="D56" s="106">
        <f>IF($G$13="","",IF($G$13=E56,"X",""))</f>
      </c>
      <c r="E56" s="106">
        <f>IF($F$14="X",'Tafel § 16'!B43,IF($F$15="X",'Tafel § 16'!B43,IF($F$16="X",'Tafel § 17'!B43,"")))</f>
        <v>2000000</v>
      </c>
      <c r="F56" s="106"/>
      <c r="G56" s="106">
        <f>IF($F$14="X",'Tafel § 16'!C43,IF($F$15="X",'Tafel § 16'!C43,IF($F$16="X",'Tafel § 17'!C43,"")))</f>
        <v>105005</v>
      </c>
      <c r="H56" s="106">
        <f>IF($F$14="X",'Tafel § 16'!D43,IF($F$15="X",'Tafel § 16'!D43,IF($F$16="X",'Tafel § 17'!D43,"")))</f>
        <v>124033</v>
      </c>
      <c r="I56" s="106">
        <f>IF($A56="X",ROUND($G56+($H56-$G56)*(($J$12-$I$6)/($J$6-$I$6)),0),"")</f>
      </c>
      <c r="J56" s="106">
        <f>IF($A56="X",ROUND($G56+($H56-$G56)*(($J$12-$I$6)/($J$6-$I$6)),0),"")</f>
      </c>
      <c r="K56" s="106">
        <f>IF($A56="X",$E56,"")</f>
      </c>
      <c r="L56" s="106">
        <f>IF($A56="X",$E58,"")</f>
      </c>
      <c r="M56" s="106">
        <f>IF($B56="X",ROUND($G56+($H56-$G56)*(($J$12-$I$6)/($J$6-$I$6)),0),"")</f>
      </c>
      <c r="N56" s="106">
        <f>IF($B56="X",ROUND($G56+($H56-$G56)*(($J$12-$I$6)/($J$6-$I$6)),0),"")</f>
      </c>
      <c r="O56" s="106">
        <f>IF($B56="X",$E56,"")</f>
      </c>
      <c r="P56" s="106">
        <f>IF($B56="X",$E58,"")</f>
      </c>
      <c r="Q56" s="106">
        <f>IF($C56="X",ROUND($G56+($H56-$G56)*(($J$12-$I$6)/($J$6-$I$6)),0),"")</f>
      </c>
      <c r="R56" s="106">
        <f>IF($C56="X",ROUND($G56+($H56-$G56)*(($J$12-$I$6)/($J$6-$I$6)),0),"")</f>
      </c>
      <c r="S56" s="106">
        <f>IF($C56="X",$E56,"")</f>
      </c>
      <c r="T56" s="106">
        <f>IF($C56="X",$E58,"")</f>
      </c>
      <c r="U56" s="106">
        <f>IF($D56="X",ROUND($G56+($H56-$G56)*(($J$12-$I$6)/($J$6-$I$6)),0),"")</f>
      </c>
      <c r="V56" s="106">
        <f>IF($D56="X",ROUND($G56+($H56-$G56)*(($J$12-$I$6)/($J$6-$I$6)),0),"")</f>
      </c>
      <c r="W56" s="106">
        <f>IF($D56="X",$E56,"")</f>
      </c>
      <c r="X56" s="106">
        <f>IF($D56="X",$E58,"")</f>
      </c>
    </row>
    <row r="57" spans="1:24" ht="10.5" customHeight="1">
      <c r="A57" s="99">
        <f>IF($G$4=$E56,"",IF($G$4=$E58,"",IF($G$4&gt;=$E56,IF($G$4&lt;=$E58,"X",""),"")))</f>
      </c>
      <c r="B57" s="99">
        <f>IF($G$7=$E56,"",IF($G$7=$E58,"",IF($G$7&gt;=$E56,IF($G$7&lt;=$E58,"X",""),"")))</f>
      </c>
      <c r="C57" s="99">
        <f>IF($G$10=$E56,"",IF($G$10=$E58,"",IF($G$10&gt;=$E56,IF($G$10&lt;=$E58,"X",""),"")))</f>
      </c>
      <c r="D57" s="99">
        <f>IF($G$13=$E56,"",IF($G$13=$E58,"",IF($G$13&gt;=$E56,IF($G$13&lt;=$E58,"X",""),"")))</f>
      </c>
      <c r="I57" s="120">
        <f>IF($A57="X",ROUND($G56+($H56-$G56)*(($J$12-$I$6)/($J$6-$I$6)),0),"")</f>
      </c>
      <c r="J57" s="120">
        <f>IF($A57="X",ROUND($G58+($H58-$G58)*(($J$12-$I$6)/($J$6-$I$6)),0),"")</f>
      </c>
      <c r="K57" s="120">
        <f>IF($A57="X",$E56,"")</f>
      </c>
      <c r="L57" s="120">
        <f>IF($A57="X",$E58,"")</f>
      </c>
      <c r="M57" s="120">
        <f>IF($B57="X",ROUND($G56+($H56-$G56)*(($J$12-$I$6)/($J$6-$I$6)),0),"")</f>
      </c>
      <c r="N57" s="120">
        <f>IF($B57="X",ROUND($G58+($H58-$G58)*(($J$12-$I$6)/($J$6-$I$6)),0),"")</f>
      </c>
      <c r="O57" s="120">
        <f>IF($B57="X",$E56,"")</f>
      </c>
      <c r="P57" s="120">
        <f>IF($B57="X",$E58,"")</f>
      </c>
      <c r="Q57" s="120">
        <f>IF($C57="X",ROUND($G56+($H56-$G56)*(($J$12-$I$6)/($J$6-$I$6)),0),"")</f>
      </c>
      <c r="R57" s="120">
        <f>IF($C57="X",ROUND($G58+($H58-$G58)*(($J$12-$I$6)/($J$6-$I$6)),0),"")</f>
      </c>
      <c r="S57" s="120">
        <f>IF($C57="X",$E56,"")</f>
      </c>
      <c r="T57" s="120">
        <f>IF($C57="X",$E58,"")</f>
      </c>
      <c r="U57" s="120">
        <f>IF($D57="X",ROUND($G56+($H56-$G56)*(($J$12-$I$6)/($J$6-$I$6)),0),"")</f>
      </c>
      <c r="V57" s="120">
        <f>IF($D57="X",ROUND($G58+($H58-$G58)*(($J$12-$I$6)/($J$6-$I$6)),0),"")</f>
      </c>
      <c r="W57" s="120">
        <f>IF($D57="X",$E56,"")</f>
      </c>
      <c r="X57" s="120">
        <f>IF($D57="X",$E58,"")</f>
      </c>
    </row>
    <row r="58" spans="1:24" ht="10.5" customHeight="1">
      <c r="A58" s="106">
        <f>IF($G$4="","",IF($G$4=E58,"X",""))</f>
      </c>
      <c r="B58" s="106">
        <f>IF($G$7="","",IF($G$7=E58,"X",""))</f>
      </c>
      <c r="C58" s="106">
        <f>IF($G$10="","",IF($G$10=E58,"X",""))</f>
      </c>
      <c r="D58" s="106">
        <f>IF($G$13="","",IF($G$13=E58,"X",""))</f>
      </c>
      <c r="E58" s="106">
        <f>IF($F$14="X",'Tafel § 16'!B45,IF($F$15="X",'Tafel § 16'!B45,IF($F$16="X",'Tafel § 17'!B45,"")))</f>
        <v>2500000</v>
      </c>
      <c r="F58" s="106"/>
      <c r="G58" s="106">
        <f>IF($F$14="X",'Tafel § 16'!C45,IF($F$15="X",'Tafel § 16'!C45,IF($F$16="X",'Tafel § 17'!C45,"")))</f>
        <v>129845</v>
      </c>
      <c r="H58" s="106">
        <f>IF($F$14="X",'Tafel § 16'!D45,IF($F$15="X",'Tafel § 16'!D45,IF($F$16="X",'Tafel § 17'!D45,"")))</f>
        <v>153271</v>
      </c>
      <c r="I58" s="106">
        <f>IF($A58="X",ROUND($G58+($H58-$G58)*(($J$12-$I$6)/($J$6-$I$6)),0),"")</f>
      </c>
      <c r="J58" s="106">
        <f>IF($A58="X",ROUND($G58+($H58-$G58)*(($J$12-$I$6)/($J$6-$I$6)),0),"")</f>
      </c>
      <c r="K58" s="106">
        <f>IF($A58="X",$E58,"")</f>
      </c>
      <c r="L58" s="106">
        <f>IF($A58="X",$E60,"")</f>
      </c>
      <c r="M58" s="106">
        <f>IF($B58="X",ROUND($G58+($H58-$G58)*(($J$12-$I$6)/($J$6-$I$6)),0),"")</f>
      </c>
      <c r="N58" s="106">
        <f>IF($B58="X",ROUND($G58+($H58-$G58)*(($J$12-$I$6)/($J$6-$I$6)),0),"")</f>
      </c>
      <c r="O58" s="106">
        <f>IF($B58="X",$E58,"")</f>
      </c>
      <c r="P58" s="106">
        <f>IF($B58="X",$E60,"")</f>
      </c>
      <c r="Q58" s="106">
        <f>IF($C58="X",ROUND($G58+($H58-$G58)*(($J$12-$I$6)/($J$6-$I$6)),0),"")</f>
      </c>
      <c r="R58" s="106">
        <f>IF($C58="X",ROUND($G58+($H58-$G58)*(($J$12-$I$6)/($J$6-$I$6)),0),"")</f>
      </c>
      <c r="S58" s="106">
        <f>IF($C58="X",$E58,"")</f>
      </c>
      <c r="T58" s="106">
        <f>IF($C58="X",$E60,"")</f>
      </c>
      <c r="U58" s="106">
        <f>IF($D58="X",ROUND($G58+($H58-$G58)*(($J$12-$I$6)/($J$6-$I$6)),0),"")</f>
      </c>
      <c r="V58" s="106">
        <f>IF($D58="X",ROUND($G58+($H58-$G58)*(($J$12-$I$6)/($J$6-$I$6)),0),"")</f>
      </c>
      <c r="W58" s="106">
        <f>IF($D58="X",$E58,"")</f>
      </c>
      <c r="X58" s="106">
        <f>IF($D58="X",$E60,"")</f>
      </c>
    </row>
    <row r="59" spans="1:24" ht="10.5" customHeight="1">
      <c r="A59" s="99">
        <f>IF($G$4=$E58,"",IF($G$4=$E60,"",IF($G$4&gt;=$E58,IF($G$4&lt;=$E60,"X",""),"")))</f>
      </c>
      <c r="B59" s="99">
        <f>IF($G$7=$E58,"",IF($G$7=$E60,"",IF($G$7&gt;=$E58,IF($G$7&lt;=$E60,"X",""),"")))</f>
      </c>
      <c r="C59" s="99">
        <f>IF($G$10=$E58,"",IF($G$10=$E60,"",IF($G$10&gt;=$E58,IF($G$10&lt;=$E60,"X",""),"")))</f>
      </c>
      <c r="D59" s="99">
        <f>IF($G$13=$E58,"",IF($G$13=$E60,"",IF($G$13&gt;=$E58,IF($G$13&lt;=$E60,"X",""),"")))</f>
      </c>
      <c r="I59" s="120">
        <f>IF($A59="X",ROUND($G58+($H58-$G58)*(($J$12-$I$6)/($J$6-$I$6)),0),"")</f>
      </c>
      <c r="J59" s="120">
        <f>IF($A59="X",ROUND($G60+($H60-$G60)*(($J$12-$I$6)/($J$6-$I$6)),0),"")</f>
      </c>
      <c r="K59" s="120">
        <f>IF($A59="X",$E58,"")</f>
      </c>
      <c r="L59" s="120">
        <f>IF($A59="X",$E60,"")</f>
      </c>
      <c r="M59" s="120">
        <f>IF($B59="X",ROUND($G58+($H58-$G58)*(($J$12-$I$6)/($J$6-$I$6)),0),"")</f>
      </c>
      <c r="N59" s="120">
        <f>IF($B59="X",ROUND($G60+($H60-$G60)*(($J$12-$I$6)/($J$6-$I$6)),0),"")</f>
      </c>
      <c r="O59" s="120">
        <f>IF($B59="X",$E58,"")</f>
      </c>
      <c r="P59" s="120">
        <f>IF($B59="X",$E60,"")</f>
      </c>
      <c r="Q59" s="120">
        <f>IF($C59="X",ROUND($G58+($H58-$G58)*(($J$12-$I$6)/($J$6-$I$6)),0),"")</f>
      </c>
      <c r="R59" s="120">
        <f>IF($C59="X",ROUND($G60+($H60-$G60)*(($J$12-$I$6)/($J$6-$I$6)),0),"")</f>
      </c>
      <c r="S59" s="120">
        <f>IF($C59="X",$E58,"")</f>
      </c>
      <c r="T59" s="120">
        <f>IF($C59="X",$E60,"")</f>
      </c>
      <c r="U59" s="120">
        <f>IF($D59="X",ROUND($G58+($H58-$G58)*(($J$12-$I$6)/($J$6-$I$6)),0),"")</f>
      </c>
      <c r="V59" s="120">
        <f>IF($D59="X",ROUND($G60+($H60-$G60)*(($J$12-$I$6)/($J$6-$I$6)),0),"")</f>
      </c>
      <c r="W59" s="120">
        <f>IF($D59="X",$E58,"")</f>
      </c>
      <c r="X59" s="120">
        <f>IF($D59="X",$E60,"")</f>
      </c>
    </row>
    <row r="60" spans="1:24" ht="10.5" customHeight="1">
      <c r="A60" s="106">
        <f>IF($G$4="","",IF($G$4=E60,"X",""))</f>
      </c>
      <c r="B60" s="106">
        <f>IF($G$7="","",IF($G$7=E60,"X",""))</f>
      </c>
      <c r="C60" s="106">
        <f>IF($G$10="","",IF($G$10=E60,"X",""))</f>
      </c>
      <c r="D60" s="106">
        <f>IF($G$13="","",IF($G$13=E60,"X",""))</f>
      </c>
      <c r="E60" s="106">
        <f>IF($F$14="X",'Tafel § 16'!B47,IF($F$15="X",'Tafel § 16'!B47,IF($F$16="X",'Tafel § 17'!B47,"")))</f>
        <v>3000000</v>
      </c>
      <c r="F60" s="106"/>
      <c r="G60" s="106">
        <f>IF($F$14="X",'Tafel § 16'!C47,IF($F$15="X",'Tafel § 16'!C47,IF($F$16="X",'Tafel § 17'!C47,"")))</f>
        <v>155660</v>
      </c>
      <c r="H60" s="106">
        <f>IF($F$14="X",'Tafel § 16'!D47,IF($F$15="X",'Tafel § 16'!D47,IF($F$16="X",'Tafel § 17'!D47,"")))</f>
        <v>182183</v>
      </c>
      <c r="I60" s="106">
        <f>IF($A60="X",ROUND($G60+($H60-$G60)*(($J$12-$I$6)/($J$6-$I$6)),0),"")</f>
      </c>
      <c r="J60" s="106">
        <f>IF($A60="X",ROUND($G60+($H60-$G60)*(($J$12-$I$6)/($J$6-$I$6)),0),"")</f>
      </c>
      <c r="K60" s="106">
        <f>IF($A60="X",$E60,"")</f>
      </c>
      <c r="L60" s="106">
        <f>IF($A60="X",$E62,"")</f>
      </c>
      <c r="M60" s="106">
        <f>IF($B60="X",ROUND($G60+($H60-$G60)*(($J$12-$I$6)/($J$6-$I$6)),0),"")</f>
      </c>
      <c r="N60" s="106">
        <f>IF($B60="X",ROUND($G60+($H60-$G60)*(($J$12-$I$6)/($J$6-$I$6)),0),"")</f>
      </c>
      <c r="O60" s="106">
        <f>IF($B60="X",$E60,"")</f>
      </c>
      <c r="P60" s="106">
        <f>IF($B60="X",$E62,"")</f>
      </c>
      <c r="Q60" s="106">
        <f>IF($C60="X",ROUND($G60+($H60-$G60)*(($J$12-$I$6)/($J$6-$I$6)),0),"")</f>
      </c>
      <c r="R60" s="106">
        <f>IF($C60="X",ROUND($G60+($H60-$G60)*(($J$12-$I$6)/($J$6-$I$6)),0),"")</f>
      </c>
      <c r="S60" s="106">
        <f>IF($C60="X",$E60,"")</f>
      </c>
      <c r="T60" s="106">
        <f>IF($C60="X",$E62,"")</f>
      </c>
      <c r="U60" s="106">
        <f>IF($D60="X",ROUND($G60+($H60-$G60)*(($J$12-$I$6)/($J$6-$I$6)),0),"")</f>
      </c>
      <c r="V60" s="106">
        <f>IF($D60="X",ROUND($G60+($H60-$G60)*(($J$12-$I$6)/($J$6-$I$6)),0),"")</f>
      </c>
      <c r="W60" s="106">
        <f>IF($D60="X",$E60,"")</f>
      </c>
      <c r="X60" s="106">
        <f>IF($D60="X",$E62,"")</f>
      </c>
    </row>
    <row r="61" spans="1:24" ht="10.5" customHeight="1">
      <c r="A61" s="99">
        <f>IF($G$4=$E60,"",IF($G$4=$E62,"",IF($G$4&gt;=$E60,IF($G$4&lt;=$E62,"X",""),"")))</f>
      </c>
      <c r="B61" s="99">
        <f>IF($G$7=$E60,"",IF($G$7=$E62,"",IF($G$7&gt;=$E60,IF($G$7&lt;=$E62,"X",""),"")))</f>
      </c>
      <c r="C61" s="99">
        <f>IF($G$10=$E60,"",IF($G$10=$E62,"",IF($G$10&gt;=$E60,IF($G$10&lt;=$E62,"X",""),"")))</f>
      </c>
      <c r="D61" s="99">
        <f>IF($G$13=$E60,"",IF($G$13=$E62,"",IF($G$13&gt;=$E60,IF($G$13&lt;=$E62,"X",""),"")))</f>
      </c>
      <c r="I61" s="120">
        <f>IF($A61="X",ROUND($G60+($H60-$G60)*(($J$12-$I$6)/($J$6-$I$6)),0),"")</f>
      </c>
      <c r="J61" s="120">
        <f>IF($A61="X",ROUND($G62+($H62-$G62)*(($J$12-$I$6)/($J$6-$I$6)),0),"")</f>
      </c>
      <c r="K61" s="120">
        <f>IF($A61="X",$E60,"")</f>
      </c>
      <c r="L61" s="120">
        <f>IF($A61="X",$E62,"")</f>
      </c>
      <c r="M61" s="120">
        <f>IF($B61="X",ROUND($G60+($H60-$G60)*(($J$12-$I$6)/($J$6-$I$6)),0),"")</f>
      </c>
      <c r="N61" s="120">
        <f>IF($B61="X",ROUND($G62+($H62-$G62)*(($J$12-$I$6)/($J$6-$I$6)),0),"")</f>
      </c>
      <c r="O61" s="120">
        <f>IF($B61="X",$E60,"")</f>
      </c>
      <c r="P61" s="120">
        <f>IF($B61="X",$E62,"")</f>
      </c>
      <c r="Q61" s="120">
        <f>IF($C61="X",ROUND($G60+($H60-$G60)*(($J$12-$I$6)/($J$6-$I$6)),0),"")</f>
      </c>
      <c r="R61" s="120">
        <f>IF($C61="X",ROUND($G62+($H62-$G62)*(($J$12-$I$6)/($J$6-$I$6)),0),"")</f>
      </c>
      <c r="S61" s="120">
        <f>IF($C61="X",$E60,"")</f>
      </c>
      <c r="T61" s="120">
        <f>IF($C61="X",$E62,"")</f>
      </c>
      <c r="U61" s="120">
        <f>IF($D61="X",ROUND($G60+($H60-$G60)*(($J$12-$I$6)/($J$6-$I$6)),0),"")</f>
      </c>
      <c r="V61" s="120">
        <f>IF($D61="X",ROUND($G62+($H62-$G62)*(($J$12-$I$6)/($J$6-$I$6)),0),"")</f>
      </c>
      <c r="W61" s="120">
        <f>IF($D61="X",$E60,"")</f>
      </c>
      <c r="X61" s="120">
        <f>IF($D61="X",$E62,"")</f>
      </c>
    </row>
    <row r="62" spans="1:24" ht="10.5" customHeight="1">
      <c r="A62" s="106">
        <f>IF($G$4="","",IF($G$4=E62,"X",""))</f>
      </c>
      <c r="B62" s="106">
        <f>IF($G$7="","",IF($G$7=E62,"X",""))</f>
      </c>
      <c r="C62" s="106">
        <f>IF($G$10="","",IF($G$10=E62,"X",""))</f>
      </c>
      <c r="D62" s="106">
        <f>IF($G$13="","",IF($G$13=E62,"X",""))</f>
      </c>
      <c r="E62" s="106">
        <f>IF($F$14="X",'Tafel § 16'!B49,IF($F$15="X",'Tafel § 16'!B49,IF($F$16="X",'Tafel § 17'!B49,"")))</f>
        <v>3500000</v>
      </c>
      <c r="F62" s="106"/>
      <c r="G62" s="106">
        <f>IF($F$14="X",'Tafel § 16'!C49,IF($F$15="X",'Tafel § 16'!C49,IF($F$16="X",'Tafel § 17'!C49,"")))</f>
        <v>181605</v>
      </c>
      <c r="H62" s="106">
        <f>IF($F$14="X",'Tafel § 16'!D49,IF($F$15="X",'Tafel § 16'!D49,IF($F$16="X",'Tafel § 17'!D49,"")))</f>
        <v>211053</v>
      </c>
      <c r="I62" s="106">
        <f>IF($A62="X",ROUND($G62+($H62-$G62)*(($J$12-$I$6)/($J$6-$I$6)),0),"")</f>
      </c>
      <c r="J62" s="106">
        <f>IF($A62="X",ROUND($G62+($H62-$G62)*(($J$12-$I$6)/($J$6-$I$6)),0),"")</f>
      </c>
      <c r="K62" s="106">
        <f>IF($A62="X",$E62,"")</f>
      </c>
      <c r="L62" s="106">
        <f>IF($A62="X",$E64,"")</f>
      </c>
      <c r="M62" s="106">
        <f>IF($B62="X",ROUND($G62+($H62-$G62)*(($J$12-$I$6)/($J$6-$I$6)),0),"")</f>
      </c>
      <c r="N62" s="106">
        <f>IF($B62="X",ROUND($G62+($H62-$G62)*(($J$12-$I$6)/($J$6-$I$6)),0),"")</f>
      </c>
      <c r="O62" s="106">
        <f>IF($B62="X",$E62,"")</f>
      </c>
      <c r="P62" s="106">
        <f>IF($B62="X",$E64,"")</f>
      </c>
      <c r="Q62" s="106">
        <f>IF($C62="X",ROUND($G62+($H62-$G62)*(($J$12-$I$6)/($J$6-$I$6)),0),"")</f>
      </c>
      <c r="R62" s="106">
        <f>IF($C62="X",ROUND($G62+($H62-$G62)*(($J$12-$I$6)/($J$6-$I$6)),0),"")</f>
      </c>
      <c r="S62" s="106">
        <f>IF($C62="X",$E62,"")</f>
      </c>
      <c r="T62" s="106">
        <f>IF($C62="X",$E64,"")</f>
      </c>
      <c r="U62" s="106">
        <f>IF($D62="X",ROUND($G62+($H62-$G62)*(($J$12-$I$6)/($J$6-$I$6)),0),"")</f>
      </c>
      <c r="V62" s="106">
        <f>IF($D62="X",ROUND($G62+($H62-$G62)*(($J$12-$I$6)/($J$6-$I$6)),0),"")</f>
      </c>
      <c r="W62" s="106">
        <f>IF($D62="X",$E62,"")</f>
      </c>
      <c r="X62" s="106">
        <f>IF($D62="X",$E64,"")</f>
      </c>
    </row>
    <row r="63" spans="1:24" ht="10.5" customHeight="1">
      <c r="A63" s="99">
        <f>IF($G$4=$E62,"",IF($G$4=$E64,"",IF($G$4&gt;=$E62,IF($G$4&lt;=$E64,"X",""),"")))</f>
      </c>
      <c r="B63" s="99">
        <f>IF($G$7=$E62,"",IF($G$7=$E64,"",IF($G$7&gt;=$E62,IF($G$7&lt;=$E64,"X",""),"")))</f>
      </c>
      <c r="C63" s="99">
        <f>IF($G$10=$E62,"",IF($G$10=$E64,"",IF($G$10&gt;=$E62,IF($G$10&lt;=$E64,"X",""),"")))</f>
      </c>
      <c r="D63" s="99">
        <f>IF($G$13=$E62,"",IF($G$13=$E64,"",IF($G$13&gt;=$E62,IF($G$13&lt;=$E64,"X",""),"")))</f>
      </c>
      <c r="I63" s="120">
        <f>IF($A63="X",ROUND($G62+($H62-$G62)*(($J$12-$I$6)/($J$6-$I$6)),0),"")</f>
      </c>
      <c r="J63" s="120">
        <f>IF($A63="X",ROUND($G64+($H64-$G64)*(($J$12-$I$6)/($J$6-$I$6)),0),"")</f>
      </c>
      <c r="K63" s="120">
        <f>IF($A63="X",$E62,"")</f>
      </c>
      <c r="L63" s="120">
        <f>IF($A63="X",$E64,"")</f>
      </c>
      <c r="M63" s="120">
        <f>IF($B63="X",ROUND($G62+($H62-$G62)*(($J$12-$I$6)/($J$6-$I$6)),0),"")</f>
      </c>
      <c r="N63" s="120">
        <f>IF($B63="X",ROUND($G64+($H64-$G64)*(($J$12-$I$6)/($J$6-$I$6)),0),"")</f>
      </c>
      <c r="O63" s="120">
        <f>IF($B63="X",$E62,"")</f>
      </c>
      <c r="P63" s="120">
        <f>IF($B63="X",$E64,"")</f>
      </c>
      <c r="Q63" s="120">
        <f>IF($C63="X",ROUND($G62+($H62-$G62)*(($J$12-$I$6)/($J$6-$I$6)),0),"")</f>
      </c>
      <c r="R63" s="120">
        <f>IF($C63="X",ROUND($G64+($H64-$G64)*(($J$12-$I$6)/($J$6-$I$6)),0),"")</f>
      </c>
      <c r="S63" s="120">
        <f>IF($C63="X",$E62,"")</f>
      </c>
      <c r="T63" s="120">
        <f>IF($C63="X",$E64,"")</f>
      </c>
      <c r="U63" s="120">
        <f>IF($D63="X",ROUND($G62+($H62-$G62)*(($J$12-$I$6)/($J$6-$I$6)),0),"")</f>
      </c>
      <c r="V63" s="120">
        <f>IF($D63="X",ROUND($G64+($H64-$G64)*(($J$12-$I$6)/($J$6-$I$6)),0),"")</f>
      </c>
      <c r="W63" s="120">
        <f>IF($D63="X",$E62,"")</f>
      </c>
      <c r="X63" s="120">
        <f>IF($D63="X",$E64,"")</f>
      </c>
    </row>
    <row r="64" spans="1:24" ht="10.5" customHeight="1">
      <c r="A64" s="106">
        <f>IF($G$4="","",IF($G$4=E64,"X",""))</f>
      </c>
      <c r="B64" s="106">
        <f>IF($G$7="","",IF($G$7=E64,"X",""))</f>
      </c>
      <c r="C64" s="106">
        <f>IF($G$10="","",IF($G$10=E64,"X",""))</f>
      </c>
      <c r="D64" s="106">
        <f>IF($G$13="","",IF($G$13=E64,"X",""))</f>
      </c>
      <c r="E64" s="106">
        <f>IF($F$14="X",'Tafel § 16'!B51,IF($F$15="X",'Tafel § 16'!B51,IF($F$16="X",'Tafel § 17'!B51,"")))</f>
        <v>4000000</v>
      </c>
      <c r="F64" s="106"/>
      <c r="G64" s="106">
        <f>IF($F$14="X",'Tafel § 16'!C51,IF($F$15="X",'Tafel § 16'!C51,IF($F$16="X",'Tafel § 17'!C51,"")))</f>
        <v>207550</v>
      </c>
      <c r="H64" s="106">
        <f>IF($F$14="X",'Tafel § 16'!D51,IF($F$15="X",'Tafel § 16'!D51,IF($F$16="X",'Tafel § 17'!D51,"")))</f>
        <v>239927</v>
      </c>
      <c r="I64" s="106">
        <f>IF($A64="X",ROUND($G64+($H64-$G64)*(($J$12-$I$6)/($J$6-$I$6)),0),"")</f>
      </c>
      <c r="J64" s="106">
        <f>IF($A64="X",ROUND($G64+($H64-$G64)*(($J$12-$I$6)/($J$6-$I$6)),0),"")</f>
      </c>
      <c r="K64" s="106">
        <f>IF($A64="X",$E64,"")</f>
      </c>
      <c r="L64" s="106">
        <f>IF($A64="X",$E66,"")</f>
      </c>
      <c r="M64" s="106">
        <f>IF($B64="X",ROUND($G64+($H64-$G64)*(($J$12-$I$6)/($J$6-$I$6)),0),"")</f>
      </c>
      <c r="N64" s="106">
        <f>IF($B64="X",ROUND($G64+($H64-$G64)*(($J$12-$I$6)/($J$6-$I$6)),0),"")</f>
      </c>
      <c r="O64" s="106">
        <f>IF($B64="X",$E64,"")</f>
      </c>
      <c r="P64" s="106">
        <f>IF($B64="X",$E66,"")</f>
      </c>
      <c r="Q64" s="106">
        <f>IF($C64="X",ROUND($G64+($H64-$G64)*(($J$12-$I$6)/($J$6-$I$6)),0),"")</f>
      </c>
      <c r="R64" s="106">
        <f>IF($C64="X",ROUND($G64+($H64-$G64)*(($J$12-$I$6)/($J$6-$I$6)),0),"")</f>
      </c>
      <c r="S64" s="106">
        <f>IF($C64="X",$E64,"")</f>
      </c>
      <c r="T64" s="106">
        <f>IF($C64="X",$E66,"")</f>
      </c>
      <c r="U64" s="106">
        <f>IF($D64="X",ROUND($G64+($H64-$G64)*(($J$12-$I$6)/($J$6-$I$6)),0),"")</f>
      </c>
      <c r="V64" s="106">
        <f>IF($D64="X",ROUND($G64+($H64-$G64)*(($J$12-$I$6)/($J$6-$I$6)),0),"")</f>
      </c>
      <c r="W64" s="106">
        <f>IF($D64="X",$E64,"")</f>
      </c>
      <c r="X64" s="106">
        <f>IF($D64="X",$E66,"")</f>
      </c>
    </row>
    <row r="65" spans="1:24" ht="10.5" customHeight="1">
      <c r="A65" s="99">
        <f>IF($G$4=$E64,"",IF($G$4=$E66,"",IF($G$4&gt;=$E64,IF($G$4&lt;=$E66,"X",""),"")))</f>
      </c>
      <c r="B65" s="99">
        <f>IF($G$7=$E64,"",IF($G$7=$E66,"",IF($G$7&gt;=$E64,IF($G$7&lt;=$E66,"X",""),"")))</f>
      </c>
      <c r="C65" s="99">
        <f>IF($G$10=$E64,"",IF($G$10=$E66,"",IF($G$10&gt;=$E64,IF($G$10&lt;=$E66,"X",""),"")))</f>
      </c>
      <c r="D65" s="99">
        <f>IF($G$13=$E64,"",IF($G$13=$E66,"",IF($G$13&gt;=$E64,IF($G$13&lt;=$E66,"X",""),"")))</f>
      </c>
      <c r="I65" s="120">
        <f>IF($A65="X",ROUND($G64+($H64-$G64)*(($J$12-$I$6)/($J$6-$I$6)),0),"")</f>
      </c>
      <c r="J65" s="120">
        <f>IF($A65="X",ROUND($G66+($H66-$G66)*(($J$12-$I$6)/($J$6-$I$6)),0),"")</f>
      </c>
      <c r="K65" s="120">
        <f>IF($A65="X",$E64,"")</f>
      </c>
      <c r="L65" s="120">
        <f>IF($A65="X",$E66,"")</f>
      </c>
      <c r="M65" s="120">
        <f>IF($B65="X",ROUND($G64+($H64-$G64)*(($J$12-$I$6)/($J$6-$I$6)),0),"")</f>
      </c>
      <c r="N65" s="120">
        <f>IF($B65="X",ROUND($G66+($H66-$G66)*(($J$12-$I$6)/($J$6-$I$6)),0),"")</f>
      </c>
      <c r="O65" s="120">
        <f>IF($B65="X",$E64,"")</f>
      </c>
      <c r="P65" s="120">
        <f>IF($B65="X",$E66,"")</f>
      </c>
      <c r="Q65" s="120">
        <f>IF($C65="X",ROUND($G64+($H64-$G64)*(($J$12-$I$6)/($J$6-$I$6)),0),"")</f>
      </c>
      <c r="R65" s="120">
        <f>IF($C65="X",ROUND($G66+($H66-$G66)*(($J$12-$I$6)/($J$6-$I$6)),0),"")</f>
      </c>
      <c r="S65" s="120">
        <f>IF($C65="X",$E64,"")</f>
      </c>
      <c r="T65" s="120">
        <f>IF($C65="X",$E66,"")</f>
      </c>
      <c r="U65" s="120">
        <f>IF($D65="X",ROUND($G64+($H64-$G64)*(($J$12-$I$6)/($J$6-$I$6)),0),"")</f>
      </c>
      <c r="V65" s="120">
        <f>IF($D65="X",ROUND($G66+($H66-$G66)*(($J$12-$I$6)/($J$6-$I$6)),0),"")</f>
      </c>
      <c r="W65" s="120">
        <f>IF($D65="X",$E64,"")</f>
      </c>
      <c r="X65" s="120">
        <f>IF($D65="X",$E66,"")</f>
      </c>
    </row>
    <row r="66" spans="1:24" ht="10.5" customHeight="1">
      <c r="A66" s="106">
        <f>IF($G$4="","",IF($G$4=E66,"X",""))</f>
      </c>
      <c r="B66" s="106">
        <f>IF($G$7="","",IF($G$7=E66,"X",""))</f>
      </c>
      <c r="C66" s="106">
        <f>IF($G$10="","",IF($G$10=E66,"X",""))</f>
      </c>
      <c r="D66" s="106">
        <f>IF($G$13="","",IF($G$13=E66,"X",""))</f>
      </c>
      <c r="E66" s="106">
        <f>IF($F$14="X",'Tafel § 16'!B53,IF($F$15="X",'Tafel § 16'!B53,IF($F$16="X",'Tafel § 17'!B53,"")))</f>
        <v>4500000</v>
      </c>
      <c r="F66" s="106"/>
      <c r="G66" s="106">
        <f>IF($F$14="X",'Tafel § 16'!C53,IF($F$15="X",'Tafel § 16'!C53,IF($F$16="X",'Tafel § 17'!C53,"")))</f>
        <v>233491</v>
      </c>
      <c r="H66" s="106">
        <f>IF($F$14="X",'Tafel § 16'!D53,IF($F$15="X",'Tafel § 16'!D53,IF($F$16="X",'Tafel § 17'!D53,"")))</f>
        <v>268798</v>
      </c>
      <c r="I66" s="106">
        <f>IF($A66="X",ROUND($G66+($H66-$G66)*(($J$12-$I$6)/($J$6-$I$6)),0),"")</f>
      </c>
      <c r="J66" s="106">
        <f>IF($A66="X",ROUND($G66+($H66-$G66)*(($J$12-$I$6)/($J$6-$I$6)),0),"")</f>
      </c>
      <c r="K66" s="106">
        <f>IF($A66="X",$E66,"")</f>
      </c>
      <c r="L66" s="106">
        <f>IF($A66="X",$E68,"")</f>
      </c>
      <c r="M66" s="106">
        <f>IF($B66="X",ROUND($G66+($H66-$G66)*(($J$12-$I$6)/($J$6-$I$6)),0),"")</f>
      </c>
      <c r="N66" s="106">
        <f>IF($B66="X",ROUND($G66+($H66-$G66)*(($J$12-$I$6)/($J$6-$I$6)),0),"")</f>
      </c>
      <c r="O66" s="106">
        <f>IF($B66="X",$E66,"")</f>
      </c>
      <c r="P66" s="106">
        <f>IF($B66="X",$E68,"")</f>
      </c>
      <c r="Q66" s="106">
        <f>IF($C66="X",ROUND($G66+($H66-$G66)*(($J$12-$I$6)/($J$6-$I$6)),0),"")</f>
      </c>
      <c r="R66" s="106">
        <f>IF($C66="X",ROUND($G66+($H66-$G66)*(($J$12-$I$6)/($J$6-$I$6)),0),"")</f>
      </c>
      <c r="S66" s="106">
        <f>IF($C66="X",$E66,"")</f>
      </c>
      <c r="T66" s="106">
        <f>IF($C66="X",$E68,"")</f>
      </c>
      <c r="U66" s="106">
        <f>IF($D66="X",ROUND($G66+($H66-$G66)*(($J$12-$I$6)/($J$6-$I$6)),0),"")</f>
      </c>
      <c r="V66" s="106">
        <f>IF($D66="X",ROUND($G66+($H66-$G66)*(($J$12-$I$6)/($J$6-$I$6)),0),"")</f>
      </c>
      <c r="W66" s="106">
        <f>IF($D66="X",$E66,"")</f>
      </c>
      <c r="X66" s="106">
        <f>IF($D66="X",$E68,"")</f>
      </c>
    </row>
    <row r="67" spans="1:24" ht="10.5" customHeight="1">
      <c r="A67" s="99">
        <f>IF($G$4=$E66,"",IF($G$4=$E68,"",IF($G$4&gt;=$E66,IF($G$4&lt;=$E68,"X",""),"")))</f>
      </c>
      <c r="B67" s="99">
        <f>IF($G$7=$E66,"",IF($G$7=$E68,"",IF($G$7&gt;=$E66,IF($G$7&lt;=$E68,"X",""),"")))</f>
      </c>
      <c r="C67" s="99">
        <f>IF($G$10=$E66,"",IF($G$10=$E68,"",IF($G$10&gt;=$E66,IF($G$10&lt;=$E68,"X",""),"")))</f>
      </c>
      <c r="D67" s="99">
        <f>IF($G$13=$E66,"",IF($G$13=$E68,"",IF($G$13&gt;=$E66,IF($G$13&lt;=$E68,"X",""),"")))</f>
      </c>
      <c r="I67" s="120">
        <f>IF($A67="X",ROUND($G66+($H66-$G66)*(($J$12-$I$6)/($J$6-$I$6)),0),"")</f>
      </c>
      <c r="J67" s="120">
        <f>IF($A67="X",ROUND($G68+($H68-$G68)*(($J$12-$I$6)/($J$6-$I$6)),0),"")</f>
      </c>
      <c r="K67" s="120">
        <f>IF($A67="X",$E66,"")</f>
      </c>
      <c r="L67" s="120">
        <f>IF($A67="X",$E68,"")</f>
      </c>
      <c r="M67" s="120">
        <f>IF($B67="X",ROUND($G66+($H66-$G66)*(($J$12-$I$6)/($J$6-$I$6)),0),"")</f>
      </c>
      <c r="N67" s="120">
        <f>IF($B67="X",ROUND($G68+($H68-$G68)*(($J$12-$I$6)/($J$6-$I$6)),0),"")</f>
      </c>
      <c r="O67" s="120">
        <f>IF($B67="X",$E66,"")</f>
      </c>
      <c r="P67" s="120">
        <f>IF($B67="X",$E68,"")</f>
      </c>
      <c r="Q67" s="120">
        <f>IF($C67="X",ROUND($G66+($H66-$G66)*(($J$12-$I$6)/($J$6-$I$6)),0),"")</f>
      </c>
      <c r="R67" s="120">
        <f>IF($C67="X",ROUND($G68+($H68-$G68)*(($J$12-$I$6)/($J$6-$I$6)),0),"")</f>
      </c>
      <c r="S67" s="120">
        <f>IF($C67="X",$E66,"")</f>
      </c>
      <c r="T67" s="120">
        <f>IF($C67="X",$E68,"")</f>
      </c>
      <c r="U67" s="120">
        <f>IF($D67="X",ROUND($G66+($H66-$G66)*(($J$12-$I$6)/($J$6-$I$6)),0),"")</f>
      </c>
      <c r="V67" s="120">
        <f>IF($D67="X",ROUND($G68+($H68-$G68)*(($J$12-$I$6)/($J$6-$I$6)),0),"")</f>
      </c>
      <c r="W67" s="120">
        <f>IF($D67="X",$E66,"")</f>
      </c>
      <c r="X67" s="120">
        <f>IF($D67="X",$E68,"")</f>
      </c>
    </row>
    <row r="68" spans="1:24" ht="10.5" customHeight="1">
      <c r="A68" s="106">
        <f>IF($G$4="","",IF($G$4=E68,"X",""))</f>
      </c>
      <c r="B68" s="106">
        <f>IF($G$7="","",IF($G$7=E68,"X",""))</f>
      </c>
      <c r="C68" s="106">
        <f>IF($G$10="","",IF($G$10=E68,"X",""))</f>
      </c>
      <c r="D68" s="106">
        <f>IF($G$13="","",IF($G$13=E68,"X",""))</f>
      </c>
      <c r="E68" s="106">
        <f>IF($F$14="X",'Tafel § 16'!B55,IF($F$15="X",'Tafel § 16'!B55,IF($F$16="X",'Tafel § 17'!B55,"")))</f>
        <v>5000000</v>
      </c>
      <c r="F68" s="106"/>
      <c r="G68" s="106">
        <f>IF($F$14="X",'Tafel § 16'!C55,IF($F$15="X",'Tafel § 16'!C55,IF($F$16="X",'Tafel § 17'!C55,"")))</f>
        <v>259435</v>
      </c>
      <c r="H68" s="106">
        <f>IF($F$14="X",'Tafel § 16'!D55,IF($F$15="X",'Tafel § 16'!D55,IF($F$16="X",'Tafel § 17'!D55,"")))</f>
        <v>297672</v>
      </c>
      <c r="I68" s="106">
        <f>IF($A68="X",ROUND($G68+($H68-$G68)*(($J$12-$I$6)/($J$6-$I$6)),0),"")</f>
      </c>
      <c r="J68" s="106">
        <f>IF($A68="X",ROUND($G68+($H68-$G68)*(($J$12-$I$6)/($J$6-$I$6)),0),"")</f>
      </c>
      <c r="K68" s="106">
        <f>IF($A68="X",$E68,"")</f>
      </c>
      <c r="L68" s="106">
        <f>IF($A68="X",$E70,"")</f>
      </c>
      <c r="M68" s="106">
        <f>IF($B68="X",ROUND($G68+($H68-$G68)*(($J$12-$I$6)/($J$6-$I$6)),0),"")</f>
      </c>
      <c r="N68" s="106">
        <f>IF($B68="X",ROUND($G68+($H68-$G68)*(($J$12-$I$6)/($J$6-$I$6)),0),"")</f>
      </c>
      <c r="O68" s="106">
        <f>IF($B68="X",$E68,"")</f>
      </c>
      <c r="P68" s="106">
        <f>IF($B68="X",$E70,"")</f>
      </c>
      <c r="Q68" s="106">
        <f>IF($C68="X",ROUND($G68+($H68-$G68)*(($J$12-$I$6)/($J$6-$I$6)),0),"")</f>
      </c>
      <c r="R68" s="106">
        <f>IF($C68="X",ROUND($G68+($H68-$G68)*(($J$12-$I$6)/($J$6-$I$6)),0),"")</f>
      </c>
      <c r="S68" s="106">
        <f>IF($C68="X",$E68,"")</f>
      </c>
      <c r="T68" s="106">
        <f>IF($C68="X",$E70,"")</f>
      </c>
      <c r="U68" s="106">
        <f>IF($D68="X",ROUND($G68+($H68-$G68)*(($J$12-$I$6)/($J$6-$I$6)),0),"")</f>
      </c>
      <c r="V68" s="106">
        <f>IF($D68="X",ROUND($G68+($H68-$G68)*(($J$12-$I$6)/($J$6-$I$6)),0),"")</f>
      </c>
      <c r="W68" s="106">
        <f>IF($D68="X",$E68,"")</f>
      </c>
      <c r="X68" s="106">
        <f>IF($D68="X",$E70,"")</f>
      </c>
    </row>
    <row r="69" spans="1:24" ht="10.5" customHeight="1">
      <c r="A69" s="99">
        <f>IF($G$4=$E68,"",IF($G$4=$E70,"",IF($G$4&gt;=$E68,IF($G$4&lt;=$E70,"X",""),"")))</f>
      </c>
      <c r="B69" s="99">
        <f>IF($G$7=$E68,"",IF($G$7=$E70,"",IF($G$7&gt;=$E68,IF($G$7&lt;=$E70,"X",""),"")))</f>
      </c>
      <c r="C69" s="99">
        <f>IF($G$10=$E68,"",IF($G$10=$E70,"",IF($G$10&gt;=$E68,IF($G$10&lt;=$E70,"X",""),"")))</f>
      </c>
      <c r="D69" s="99">
        <f>IF($G$13=$E68,"",IF($G$13=$E70,"",IF($G$13&gt;=$E68,IF($G$13&lt;=$E70,"X",""),"")))</f>
      </c>
      <c r="I69" s="120">
        <f>IF($A69="X",ROUND($G68+($H68-$G68)*(($J$12-$I$6)/($J$6-$I$6)),0),"")</f>
      </c>
      <c r="J69" s="120">
        <f>IF($A69="X",ROUND($G70+($H70-$G70)*(($J$12-$I$6)/($J$6-$I$6)),0),"")</f>
      </c>
      <c r="K69" s="120">
        <f>IF($A69="X",$E68,"")</f>
      </c>
      <c r="L69" s="120">
        <f>IF($A69="X",$E70,"")</f>
      </c>
      <c r="M69" s="120">
        <f>IF($B69="X",ROUND($G68+($H68-$G68)*(($J$12-$I$6)/($J$6-$I$6)),0),"")</f>
      </c>
      <c r="N69" s="120">
        <f>IF($B69="X",ROUND($G70+($H70-$G70)*(($J$12-$I$6)/($J$6-$I$6)),0),"")</f>
      </c>
      <c r="O69" s="120">
        <f>IF($B69="X",$E68,"")</f>
      </c>
      <c r="P69" s="120">
        <f>IF($B69="X",$E70,"")</f>
      </c>
      <c r="Q69" s="120">
        <f>IF($C69="X",ROUND($G68+($H68-$G68)*(($J$12-$I$6)/($J$6-$I$6)),0),"")</f>
      </c>
      <c r="R69" s="120">
        <f>IF($C69="X",ROUND($G70+($H70-$G70)*(($J$12-$I$6)/($J$6-$I$6)),0),"")</f>
      </c>
      <c r="S69" s="120">
        <f>IF($C69="X",$E68,"")</f>
      </c>
      <c r="T69" s="120">
        <f>IF($C69="X",$E70,"")</f>
      </c>
      <c r="U69" s="120">
        <f>IF($D69="X",ROUND($G68+($H68-$G68)*(($J$12-$I$6)/($J$6-$I$6)),0),"")</f>
      </c>
      <c r="V69" s="120">
        <f>IF($D69="X",ROUND($G70+($H70-$G70)*(($J$12-$I$6)/($J$6-$I$6)),0),"")</f>
      </c>
      <c r="W69" s="120">
        <f>IF($D69="X",$E68,"")</f>
      </c>
      <c r="X69" s="120">
        <f>IF($D69="X",$E70,"")</f>
      </c>
    </row>
    <row r="70" spans="1:24" ht="10.5" customHeight="1">
      <c r="A70" s="106">
        <f>IF($G$4="","",IF($G$4=E70,"X",""))</f>
      </c>
      <c r="B70" s="106">
        <f>IF($G$7="","",IF($G$7=E70,"X",""))</f>
      </c>
      <c r="C70" s="106">
        <f>IF($G$10="","",IF($G$10=E70,"X",""))</f>
      </c>
      <c r="D70" s="106">
        <f>IF($G$13="","",IF($G$13=E70,"X",""))</f>
      </c>
      <c r="E70" s="106">
        <f>IF($F$14="X",'Tafel § 16'!B57,IF($F$15="X",'Tafel § 16'!B57,IF($F$16="X",'Tafel § 17'!B57,"")))</f>
        <v>10000000</v>
      </c>
      <c r="F70" s="106"/>
      <c r="G70" s="106">
        <f>IF($F$14="X",'Tafel § 16'!C57,IF($F$15="X",'Tafel § 16'!C57,IF($F$16="X",'Tafel § 17'!C57,"")))</f>
        <v>518870</v>
      </c>
      <c r="H70" s="106">
        <f>IF($F$14="X",'Tafel § 16'!D57,IF($F$15="X",'Tafel § 16'!D57,IF($F$16="X",'Tafel § 17'!D57,"")))</f>
        <v>589823</v>
      </c>
      <c r="I70" s="106">
        <f>IF($A70="X",ROUND($G70+($H70-$G70)*(($J$12-$I$6)/($J$6-$I$6)),0),"")</f>
      </c>
      <c r="J70" s="106">
        <f>IF($A70="X",ROUND($G70+($H70-$G70)*(($J$12-$I$6)/($J$6-$I$6)),0),"")</f>
      </c>
      <c r="K70" s="106">
        <f>IF($A70="X",$E70,"")</f>
      </c>
      <c r="L70" s="106">
        <f>IF($A70="X",$E72,"")</f>
      </c>
      <c r="M70" s="106">
        <f>IF($B70="X",ROUND($G70+($H70-$G70)*(($J$12-$I$6)/($J$6-$I$6)),0),"")</f>
      </c>
      <c r="N70" s="106">
        <f>IF($B70="X",ROUND($G70+($H70-$G70)*(($J$12-$I$6)/($J$6-$I$6)),0),"")</f>
      </c>
      <c r="O70" s="106">
        <f>IF($B70="X",$E70,"")</f>
      </c>
      <c r="P70" s="106">
        <f>IF($B70="X",$E72,"")</f>
      </c>
      <c r="Q70" s="106">
        <f>IF($C70="X",ROUND($G70+($H70-$G70)*(($J$12-$I$6)/($J$6-$I$6)),0),"")</f>
      </c>
      <c r="R70" s="106">
        <f>IF($C70="X",ROUND($G70+($H70-$G70)*(($J$12-$I$6)/($J$6-$I$6)),0),"")</f>
      </c>
      <c r="S70" s="106">
        <f>IF($C70="X",$E70,"")</f>
      </c>
      <c r="T70" s="106">
        <f>IF($C70="X",$E72,"")</f>
      </c>
      <c r="U70" s="106">
        <f>IF($D70="X",ROUND($G70+($H70-$G70)*(($J$12-$I$6)/($J$6-$I$6)),0),"")</f>
      </c>
      <c r="V70" s="106">
        <f>IF($D70="X",ROUND($G70+($H70-$G70)*(($J$12-$I$6)/($J$6-$I$6)),0),"")</f>
      </c>
      <c r="W70" s="106">
        <f>IF($D70="X",$E70,"")</f>
      </c>
      <c r="X70" s="106">
        <f>IF($D70="X",$E72,"")</f>
      </c>
    </row>
    <row r="71" spans="1:24" ht="10.5" customHeight="1">
      <c r="A71" s="99">
        <f>IF($G$4=$E70,"",IF($G$4=$E72,"",IF($G$4&gt;=$E70,IF($G$4&lt;=$E72,"X",""),"")))</f>
      </c>
      <c r="B71" s="99">
        <f>IF($G$7=$E70,"",IF($G$7=$E72,"",IF($G$7&gt;=$E70,IF($G$7&lt;=$E72,"X",""),"")))</f>
      </c>
      <c r="C71" s="99">
        <f>IF($G$10=$E70,"",IF($G$10=$E72,"",IF($G$10&gt;=$E70,IF($G$10&lt;=$E72,"X",""),"")))</f>
      </c>
      <c r="D71" s="99">
        <f>IF($G$13=$E70,"",IF($G$13=$E72,"",IF($G$13&gt;=$E70,IF($G$13&lt;=$E72,"X",""),"")))</f>
      </c>
      <c r="I71" s="120">
        <f>IF($A71="X",ROUND($G70+($H70-$G70)*(($J$12-$I$6)/($J$6-$I$6)),0),"")</f>
      </c>
      <c r="J71" s="120">
        <f>IF($A71="X",ROUND($G72+($H72-$G72)*(($J$12-$I$6)/($J$6-$I$6)),0),"")</f>
      </c>
      <c r="K71" s="120">
        <f>IF($A71="X",$E70,"")</f>
      </c>
      <c r="L71" s="120">
        <f>IF($A71="X",$E72,"")</f>
      </c>
      <c r="M71" s="120">
        <f>IF($B71="X",ROUND($G70+($H70-$G70)*(($J$12-$I$6)/($J$6-$I$6)),0),"")</f>
      </c>
      <c r="N71" s="120">
        <f>IF($B71="X",ROUND($G72+($H72-$G72)*(($J$12-$I$6)/($J$6-$I$6)),0),"")</f>
      </c>
      <c r="O71" s="120">
        <f>IF($B71="X",$E70,"")</f>
      </c>
      <c r="P71" s="120">
        <f>IF($B71="X",$E72,"")</f>
      </c>
      <c r="Q71" s="120">
        <f>IF($C71="X",ROUND($G70+($H70-$G70)*(($J$12-$I$6)/($J$6-$I$6)),0),"")</f>
      </c>
      <c r="R71" s="120">
        <f>IF($C71="X",ROUND($G72+($H72-$G72)*(($J$12-$I$6)/($J$6-$I$6)),0),"")</f>
      </c>
      <c r="S71" s="120">
        <f>IF($C71="X",$E70,"")</f>
      </c>
      <c r="T71" s="120">
        <f>IF($C71="X",$E72,"")</f>
      </c>
      <c r="U71" s="120">
        <f>IF($D71="X",ROUND($G70+($H70-$G70)*(($J$12-$I$6)/($J$6-$I$6)),0),"")</f>
      </c>
      <c r="V71" s="120">
        <f>IF($D71="X",ROUND($G72+($H72-$G72)*(($J$12-$I$6)/($J$6-$I$6)),0),"")</f>
      </c>
      <c r="W71" s="120">
        <f>IF($D71="X",$E70,"")</f>
      </c>
      <c r="X71" s="120">
        <f>IF($D71="X",$E72,"")</f>
      </c>
    </row>
    <row r="72" spans="1:24" ht="10.5" customHeight="1">
      <c r="A72" s="106">
        <f>IF($G$4="","",IF($G$4=E72,"X",""))</f>
      </c>
      <c r="B72" s="106">
        <f>IF($G$7="","",IF($G$7=E72,"X",""))</f>
      </c>
      <c r="C72" s="106">
        <f>IF($G$10="","",IF($G$10=E72,"X",""))</f>
      </c>
      <c r="D72" s="106">
        <f>IF($G$13="","",IF($G$13=E72,"X",""))</f>
      </c>
      <c r="E72" s="106">
        <f>IF($F$14="X",'Tafel § 16'!B59,IF($F$15="X",'Tafel § 16'!B59,IF($F$16="X",'Tafel § 17'!B59,"")))</f>
        <v>15000000</v>
      </c>
      <c r="F72" s="106"/>
      <c r="G72" s="106">
        <f>IF($F$14="X",'Tafel § 16'!C59,IF($F$15="X",'Tafel § 16'!C59,IF($F$16="X",'Tafel § 17'!C59,"")))</f>
        <v>778305</v>
      </c>
      <c r="H72" s="106">
        <f>IF($F$14="X",'Tafel § 16'!D59,IF($F$15="X",'Tafel § 16'!D59,IF($F$16="X",'Tafel § 17'!D59,"")))</f>
        <v>877041</v>
      </c>
      <c r="I72" s="106">
        <f>IF($A72="X",ROUND($G72+($H72-$G72)*(($J$12-$I$6)/($J$6-$I$6)),0),"")</f>
      </c>
      <c r="J72" s="106">
        <f>IF($A72="X",ROUND($G72+($H72-$G72)*(($J$12-$I$6)/($J$6-$I$6)),0),"")</f>
      </c>
      <c r="K72" s="106">
        <f>IF($A72="X",$E72,"")</f>
      </c>
      <c r="L72" s="106">
        <f>IF($A72="X",$E74,"")</f>
      </c>
      <c r="M72" s="106">
        <f>IF($B72="X",ROUND($G72+($H72-$G72)*(($J$12-$I$6)/($J$6-$I$6)),0),"")</f>
      </c>
      <c r="N72" s="106">
        <f>IF($B72="X",ROUND($G72+($H72-$G72)*(($J$12-$I$6)/($J$6-$I$6)),0),"")</f>
      </c>
      <c r="O72" s="106">
        <f>IF($B72="X",$E72,"")</f>
      </c>
      <c r="P72" s="106">
        <f>IF($B72="X",$E74,"")</f>
      </c>
      <c r="Q72" s="106">
        <f>IF($C72="X",ROUND($G72+($H72-$G72)*(($J$12-$I$6)/($J$6-$I$6)),0),"")</f>
      </c>
      <c r="R72" s="106">
        <f>IF($C72="X",ROUND($G72+($H72-$G72)*(($J$12-$I$6)/($J$6-$I$6)),0),"")</f>
      </c>
      <c r="S72" s="106">
        <f>IF($C72="X",$E72,"")</f>
      </c>
      <c r="T72" s="106">
        <f>IF($C72="X",$E74,"")</f>
      </c>
      <c r="U72" s="106">
        <f>IF($D72="X",ROUND($G72+($H72-$G72)*(($J$12-$I$6)/($J$6-$I$6)),0),"")</f>
      </c>
      <c r="V72" s="106">
        <f>IF($D72="X",ROUND($G72+($H72-$G72)*(($J$12-$I$6)/($J$6-$I$6)),0),"")</f>
      </c>
      <c r="W72" s="106">
        <f>IF($D72="X",$E72,"")</f>
      </c>
      <c r="X72" s="106">
        <f>IF($D72="X",$E74,"")</f>
      </c>
    </row>
    <row r="73" spans="1:24" ht="10.5" customHeight="1">
      <c r="A73" s="99">
        <f>IF($G$4=$E72,"",IF($G$4=$E74,"",IF($G$4&gt;=$E72,IF($G$4&lt;=$E74,"X",""),"")))</f>
      </c>
      <c r="B73" s="99">
        <f>IF($G$7=$E72,"",IF($G$7=$E74,"",IF($G$7&gt;=$E72,IF($G$7&lt;=$E74,"X",""),"")))</f>
      </c>
      <c r="C73" s="99">
        <f>IF($G$10=$E72,"",IF($G$10=$E74,"",IF($G$10&gt;=$E72,IF($G$10&lt;=$E74,"X",""),"")))</f>
      </c>
      <c r="D73" s="99">
        <f>IF($G$13=$E72,"",IF($G$13=$E74,"",IF($G$13&gt;=$E72,IF($G$13&lt;=$E74,"X",""),"")))</f>
      </c>
      <c r="I73" s="120">
        <f>IF($A73="X",ROUND($G72+($H72-$G72)*(($J$12-$I$6)/($J$6-$I$6)),0),"")</f>
      </c>
      <c r="J73" s="120">
        <f>IF($A73="X",ROUND($G74+($H74-$G74)*(($J$12-$I$6)/($J$6-$I$6)),0),"")</f>
      </c>
      <c r="K73" s="120">
        <f>IF($A73="X",$E72,"")</f>
      </c>
      <c r="L73" s="120">
        <f>IF($A73="X",$E74,"")</f>
      </c>
      <c r="M73" s="120">
        <f>IF($B73="X",ROUND($G72+($H72-$G72)*(($J$12-$I$6)/($J$6-$I$6)),0),"")</f>
      </c>
      <c r="N73" s="120">
        <f>IF($B73="X",ROUND($G74+($H74-$G74)*(($J$12-$I$6)/($J$6-$I$6)),0),"")</f>
      </c>
      <c r="O73" s="120">
        <f>IF($B73="X",$E72,"")</f>
      </c>
      <c r="P73" s="120">
        <f>IF($B73="X",$E74,"")</f>
      </c>
      <c r="Q73" s="120">
        <f>IF($C73="X",ROUND($G72+($H72-$G72)*(($J$12-$I$6)/($J$6-$I$6)),0),"")</f>
      </c>
      <c r="R73" s="120">
        <f>IF($C73="X",ROUND($G74+($H74-$G74)*(($J$12-$I$6)/($J$6-$I$6)),0),"")</f>
      </c>
      <c r="S73" s="120">
        <f>IF($C73="X",$E72,"")</f>
      </c>
      <c r="T73" s="120">
        <f>IF($C73="X",$E74,"")</f>
      </c>
      <c r="U73" s="120">
        <f>IF($D73="X",ROUND($G72+($H72-$G72)*(($J$12-$I$6)/($J$6-$I$6)),0),"")</f>
      </c>
      <c r="V73" s="120">
        <f>IF($D73="X",ROUND($G74+($H74-$G74)*(($J$12-$I$6)/($J$6-$I$6)),0),"")</f>
      </c>
      <c r="W73" s="120">
        <f>IF($D73="X",$E72,"")</f>
      </c>
      <c r="X73" s="120">
        <f>IF($D73="X",$E74,"")</f>
      </c>
    </row>
    <row r="74" spans="1:24" ht="10.5" customHeight="1">
      <c r="A74" s="106">
        <f>IF($G$4="","",IF($G$4=E74,"X",""))</f>
      </c>
      <c r="B74" s="106">
        <f>IF($G$7="","",IF($G$7=E74,"X",""))</f>
      </c>
      <c r="C74" s="106">
        <f>IF($G$10="","",IF($G$10=E74,"X",""))</f>
      </c>
      <c r="D74" s="106">
        <f>IF($G$13="","",IF($G$13=E74,"X",""))</f>
      </c>
      <c r="E74" s="106">
        <f>IF($F$14="X",'Tafel § 16'!B61,IF($F$15="X",'Tafel § 16'!B61,IF($F$16="X",'Tafel § 17'!B61,"")))</f>
        <v>20000000</v>
      </c>
      <c r="F74" s="106"/>
      <c r="G74" s="106">
        <f>IF($F$14="X",'Tafel § 16'!C61,IF($F$15="X",'Tafel § 16'!C61,IF($F$16="X",'Tafel § 17'!C61,"")))</f>
        <v>1037740</v>
      </c>
      <c r="H74" s="106">
        <f>IF($F$14="X",'Tafel § 16'!D61,IF($F$15="X",'Tafel § 16'!D61,IF($F$16="X",'Tafel § 17'!D61,"")))</f>
        <v>1159131</v>
      </c>
      <c r="I74" s="106">
        <f>IF($A74="X",ROUND($G74+($H74-$G74)*(($J$12-$I$6)/($J$6-$I$6)),0),"")</f>
      </c>
      <c r="J74" s="106">
        <f>IF($A74="X",ROUND($G74+($H74-$G74)*(($J$12-$I$6)/($J$6-$I$6)),0),"")</f>
      </c>
      <c r="K74" s="106">
        <f>IF($A74="X",$E74,"")</f>
      </c>
      <c r="L74" s="106">
        <f>IF($A74="X",$E76,"")</f>
      </c>
      <c r="M74" s="106">
        <f>IF($B74="X",ROUND($G74+($H74-$G74)*(($J$12-$I$6)/($J$6-$I$6)),0),"")</f>
      </c>
      <c r="N74" s="106">
        <f>IF($B74="X",ROUND($G74+($H74-$G74)*(($J$12-$I$6)/($J$6-$I$6)),0),"")</f>
      </c>
      <c r="O74" s="106">
        <f>IF($B74="X",$E74,"")</f>
      </c>
      <c r="P74" s="106">
        <f>IF($B74="X",$E76,"")</f>
      </c>
      <c r="Q74" s="106">
        <f>IF($C74="X",ROUND($G74+($H74-$G74)*(($J$12-$I$6)/($J$6-$I$6)),0),"")</f>
      </c>
      <c r="R74" s="106">
        <f>IF($C74="X",ROUND($G74+($H74-$G74)*(($J$12-$I$6)/($J$6-$I$6)),0),"")</f>
      </c>
      <c r="S74" s="106">
        <f>IF($C74="X",$E74,"")</f>
      </c>
      <c r="T74" s="106">
        <f>IF($C74="X",$E76,"")</f>
      </c>
      <c r="U74" s="106">
        <f>IF($D74="X",ROUND($G74+($H74-$G74)*(($J$12-$I$6)/($J$6-$I$6)),0),"")</f>
      </c>
      <c r="V74" s="106">
        <f>IF($D74="X",ROUND($G74+($H74-$G74)*(($J$12-$I$6)/($J$6-$I$6)),0),"")</f>
      </c>
      <c r="W74" s="106">
        <f>IF($D74="X",$E74,"")</f>
      </c>
      <c r="X74" s="106">
        <f>IF($D74="X",$E76,"")</f>
      </c>
    </row>
    <row r="75" spans="1:24" ht="10.5" customHeight="1">
      <c r="A75" s="99">
        <f>IF($G$4=$E74,"",IF($G$4=$E76,"",IF($G$4&gt;=$E74,IF($G$4&lt;=$E76,"X",""),"")))</f>
      </c>
      <c r="B75" s="99">
        <f>IF($G$7=$E74,"",IF($G$7=$E76,"",IF($G$7&gt;=$E74,IF($G$7&lt;=$E76,"X",""),"")))</f>
      </c>
      <c r="C75" s="99">
        <f>IF($G$10=$E74,"",IF($G$10=$E76,"",IF($G$10&gt;=$E74,IF($G$10&lt;=$E76,"X",""),"")))</f>
      </c>
      <c r="D75" s="99">
        <f>IF($G$13=$E74,"",IF($G$13=$E76,"",IF($G$13&gt;=$E74,IF($G$13&lt;=$E76,"X",""),"")))</f>
      </c>
      <c r="I75" s="120">
        <f>IF($A75="X",ROUND($G74+($H74-$G74)*(($J$12-$I$6)/($J$6-$I$6)),0),"")</f>
      </c>
      <c r="J75" s="120">
        <f>IF($A75="X",ROUND($G76+($H76-$G76)*(($J$12-$I$6)/($J$6-$I$6)),0),"")</f>
      </c>
      <c r="K75" s="120">
        <f>IF($A75="X",$E74,"")</f>
      </c>
      <c r="L75" s="120">
        <f>IF($A75="X",$E76,"")</f>
      </c>
      <c r="M75" s="120">
        <f>IF($B75="X",ROUND($G74+($H74-$G74)*(($J$12-$I$6)/($J$6-$I$6)),0),"")</f>
      </c>
      <c r="N75" s="120">
        <f>IF($B75="X",ROUND($G76+($H76-$G76)*(($J$12-$I$6)/($J$6-$I$6)),0),"")</f>
      </c>
      <c r="O75" s="120">
        <f>IF($B75="X",$E74,"")</f>
      </c>
      <c r="P75" s="120">
        <f>IF($B75="X",$E76,"")</f>
      </c>
      <c r="Q75" s="120">
        <f>IF($C75="X",ROUND($G74+($H74-$G74)*(($J$12-$I$6)/($J$6-$I$6)),0),"")</f>
      </c>
      <c r="R75" s="120">
        <f>IF($C75="X",ROUND($G76+($H76-$G76)*(($J$12-$I$6)/($J$6-$I$6)),0),"")</f>
      </c>
      <c r="S75" s="120">
        <f>IF($C75="X",$E74,"")</f>
      </c>
      <c r="T75" s="120">
        <f>IF($C75="X",$E76,"")</f>
      </c>
      <c r="U75" s="120">
        <f>IF($D75="X",ROUND($G74+($H74-$G74)*(($J$12-$I$6)/($J$6-$I$6)),0),"")</f>
      </c>
      <c r="V75" s="120">
        <f>IF($D75="X",ROUND($G76+($H76-$G76)*(($J$12-$I$6)/($J$6-$I$6)),0),"")</f>
      </c>
      <c r="W75" s="120">
        <f>IF($D75="X",$E74,"")</f>
      </c>
      <c r="X75" s="120">
        <f>IF($D75="X",$E76,"")</f>
      </c>
    </row>
    <row r="76" spans="1:24" ht="10.5" customHeight="1">
      <c r="A76" s="106">
        <f>IF($G$4="","",IF($G$4=E76,"X",""))</f>
      </c>
      <c r="B76" s="106">
        <f>IF($G$7="","",IF($G$7=E76,"X",""))</f>
      </c>
      <c r="C76" s="106">
        <f>IF($G$10="","",IF($G$10=E76,"X",""))</f>
      </c>
      <c r="D76" s="106">
        <f>IF($G$13="","",IF($G$13=E76,"X",""))</f>
      </c>
      <c r="E76" s="106">
        <f>IF($F$14="X",'Tafel § 16'!B63,IF($F$15="X",'Tafel § 16'!B63,IF($F$16="X",'Tafel § 17'!B63,"")))</f>
        <v>25000000</v>
      </c>
      <c r="F76" s="106"/>
      <c r="G76" s="106">
        <f>IF($F$14="X",'Tafel § 16'!C63,IF($F$15="X",'Tafel § 16'!C63,IF($F$16="X",'Tafel § 17'!C63,"")))</f>
        <v>1297175</v>
      </c>
      <c r="H76" s="106">
        <f>IF($F$14="X",'Tafel § 16'!D63,IF($F$15="X",'Tafel § 16'!D63,IF($F$16="X",'Tafel § 17'!D63,"")))</f>
        <v>1442062</v>
      </c>
      <c r="I76" s="106">
        <f>IF($A76="X",ROUND($G76+($H76-$G76)*(($J$12-$I$6)/($J$6-$I$6)),0),"")</f>
      </c>
      <c r="J76" s="106">
        <f>IF($A76="X",ROUND($G76+($H76-$G76)*(($J$12-$I$6)/($J$6-$I$6)),0),"")</f>
      </c>
      <c r="K76" s="106">
        <f>IF($A76="X",$E76,"")</f>
      </c>
      <c r="L76" s="106">
        <f>IF($A76="X",$E78,"")</f>
      </c>
      <c r="M76" s="106">
        <f>IF($B76="X",ROUND($G76+($H76-$G76)*(($J$12-$I$6)/($J$6-$I$6)),0),"")</f>
      </c>
      <c r="N76" s="106">
        <f>IF($B76="X",ROUND($G76+($H76-$G76)*(($J$12-$I$6)/($J$6-$I$6)),0),"")</f>
      </c>
      <c r="O76" s="106">
        <f>IF($B76="X",$E76,"")</f>
      </c>
      <c r="P76" s="106">
        <f>IF($B76="X",$E78,"")</f>
      </c>
      <c r="Q76" s="106">
        <f>IF($C76="X",ROUND($G76+($H76-$G76)*(($J$12-$I$6)/($J$6-$I$6)),0),"")</f>
      </c>
      <c r="R76" s="106">
        <f>IF($C76="X",ROUND($G76+($H76-$G76)*(($J$12-$I$6)/($J$6-$I$6)),0),"")</f>
      </c>
      <c r="S76" s="106">
        <f>IF($C76="X",$E76,"")</f>
      </c>
      <c r="T76" s="106">
        <f>IF($C76="X",$E78,"")</f>
      </c>
      <c r="U76" s="106">
        <f>IF($D76="X",ROUND($G76+($H76-$G76)*(($J$12-$I$6)/($J$6-$I$6)),0),"")</f>
      </c>
      <c r="V76" s="106">
        <f>IF($D76="X",ROUND($G76+($H76-$G76)*(($J$12-$I$6)/($J$6-$I$6)),0),"")</f>
      </c>
      <c r="W76" s="106">
        <f>IF($D76="X",$E76,"")</f>
      </c>
      <c r="X76" s="106">
        <f>IF($D76="X",$E78,"")</f>
      </c>
    </row>
    <row r="77" spans="9:24" ht="10.5" customHeight="1">
      <c r="I77" s="120">
        <f>IF($A77="X",ROUND($G76+($H76-$G76)*(($J$12-$I$6)/($J$6-$I$6)),0),"")</f>
      </c>
      <c r="J77" s="120">
        <f>IF($A77="X",ROUND($G78+($H78-$G78)*(($J$12-$I$6)/($J$6-$I$6)),0),"")</f>
      </c>
      <c r="K77" s="120">
        <f>IF($A77="X",$E76,"")</f>
      </c>
      <c r="L77" s="120">
        <f>IF($A77="X",$E78,"")</f>
      </c>
      <c r="M77" s="120">
        <f>IF($B77="X",ROUND($G76+($H76-$G76)*(($J$12-$I$6)/($J$6-$I$6)),0),"")</f>
      </c>
      <c r="N77" s="120">
        <f>IF($B77="X",ROUND($G78+($H78-$G78)*(($J$12-$I$6)/($J$6-$I$6)),0),"")</f>
      </c>
      <c r="O77" s="120">
        <f>IF($B77="X",$E76,"")</f>
      </c>
      <c r="P77" s="120">
        <f>IF($B77="X",$E78,"")</f>
      </c>
      <c r="Q77" s="120">
        <f>IF($C77="X",ROUND($G76+($H76-$G76)*(($J$12-$I$6)/($J$6-$I$6)),0),"")</f>
      </c>
      <c r="R77" s="120">
        <f>IF($C77="X",ROUND($G78+($H78-$G78)*(($J$12-$I$6)/($J$6-$I$6)),0),"")</f>
      </c>
      <c r="S77" s="120">
        <f>IF($C77="X",$E76,"")</f>
      </c>
      <c r="T77" s="120">
        <f>IF($C77="X",$E78,"")</f>
      </c>
      <c r="U77" s="120">
        <f>IF($D77="X",ROUND($G76+($H76-$G76)*(($J$12-$I$6)/($J$6-$I$6)),0),"")</f>
      </c>
      <c r="V77" s="120">
        <f>IF($D77="X",ROUND($G78+($H78-$G78)*(($J$12-$I$6)/($J$6-$I$6)),0),"")</f>
      </c>
      <c r="W77" s="120">
        <f>IF($D77="X",$E76,"")</f>
      </c>
      <c r="X77" s="120">
        <f>IF($D77="X",$E78,"")</f>
      </c>
    </row>
    <row r="78" spans="1:24" ht="10.5" customHeight="1">
      <c r="A78" s="106"/>
      <c r="B78" s="106"/>
      <c r="C78" s="106"/>
      <c r="D78" s="106"/>
      <c r="E78" s="106">
        <f>IF($F$14="X",'Tafel § 16'!B65,IF($F$15="X",'Tafel § 16'!B65,IF($F$16="X",'Tafel § 17'!B65,"")))</f>
        <v>25564594</v>
      </c>
      <c r="F78" s="106"/>
      <c r="G78" s="106">
        <f>IF($F$14="X",'Tafel § 16'!C65,IF($F$15="X",'Tafel § 16'!C65,IF($F$16="X",'Tafel § 17'!C65,"")))</f>
        <v>1326470</v>
      </c>
      <c r="H78" s="106">
        <f>IF($F$14="X",'Tafel § 16'!D65,IF($F$15="X",'Tafel § 16'!D65,IF($F$16="X",'Tafel § 17'!D65,"")))</f>
        <v>1474024</v>
      </c>
      <c r="I78" s="106">
        <f>IF($A78="X",ROUND($G78+($H78-$G78)*(($J$12-$I$6)/($J$6-$I$6)),0),"")</f>
      </c>
      <c r="J78" s="106">
        <f>IF($A78="X",ROUND($G78+($H78-$G78)*(($J$12-$I$6)/($J$6-$I$6)),0),"")</f>
      </c>
      <c r="K78" s="106">
        <f>IF($A78="X",$E78,"")</f>
      </c>
      <c r="L78" s="106">
        <f>IF($A78="X",$E80,"")</f>
      </c>
      <c r="M78" s="106">
        <f>IF($B78="X",ROUND($G78+($H78-$G78)*(($J$12-$I$6)/($J$6-$I$6)),0),"")</f>
      </c>
      <c r="N78" s="106">
        <f>IF($B78="X",ROUND($G78+($H78-$G78)*(($J$12-$I$6)/($J$6-$I$6)),0),"")</f>
      </c>
      <c r="O78" s="106">
        <f>IF($B78="X",$E78,"")</f>
      </c>
      <c r="P78" s="106">
        <f>IF($B78="X",$E80,"")</f>
      </c>
      <c r="Q78" s="106">
        <f>IF($C78="X",ROUND($G78+($H78-$G78)*(($J$12-$I$6)/($J$6-$I$6)),0),"")</f>
      </c>
      <c r="R78" s="106">
        <f>IF($C78="X",ROUND($G78+($H78-$G78)*(($J$12-$I$6)/($J$6-$I$6)),0),"")</f>
      </c>
      <c r="S78" s="106">
        <f>IF($C78="X",$E78,"")</f>
      </c>
      <c r="T78" s="106">
        <f>IF($C78="X",$E80,"")</f>
      </c>
      <c r="U78" s="106">
        <f>IF($D78="X",ROUND($G78+($H78-$G78)*(($J$12-$I$6)/($J$6-$I$6)),0),"")</f>
      </c>
      <c r="V78" s="106">
        <f>IF($D78="X",ROUND($G78+($H78-$G78)*(($J$12-$I$6)/($J$6-$I$6)),0),"")</f>
      </c>
      <c r="W78" s="106">
        <f>IF($D78="X",$E78,"")</f>
      </c>
      <c r="X78" s="106">
        <f>IF($D78="X",$E80,"")</f>
      </c>
    </row>
    <row r="79" spans="9:24" ht="10.5" customHeight="1">
      <c r="I79" s="120">
        <f>IF($A79="X",ROUND($G78+($H78-$G78)*(($J$12-$I$6)/($J$6-$I$6)),0),"")</f>
      </c>
      <c r="J79" s="120">
        <f>IF($A79="X",ROUND($G80+($H80-$G80)*(($J$12-$I$6)/($J$6-$I$6)),0),"")</f>
      </c>
      <c r="K79" s="120">
        <f>IF($A79="X",$E78,"")</f>
      </c>
      <c r="L79" s="120">
        <f>IF($A79="X",$E80,"")</f>
      </c>
      <c r="M79" s="120">
        <f>IF($B79="X",ROUND($G78+($H78-$G78)*(($J$12-$I$6)/($J$6-$I$6)),0),"")</f>
      </c>
      <c r="N79" s="120">
        <f>IF($B79="X",ROUND($G80+($H80-$G80)*(($J$12-$I$6)/($J$6-$I$6)),0),"")</f>
      </c>
      <c r="O79" s="120">
        <f>IF($B79="X",$E78,"")</f>
      </c>
      <c r="P79" s="120">
        <f>IF($B79="X",$E80,"")</f>
      </c>
      <c r="Q79" s="120">
        <f>IF($C79="X",ROUND($G78+($H78-$G78)*(($J$12-$I$6)/($J$6-$I$6)),0),"")</f>
      </c>
      <c r="R79" s="120">
        <f>IF($C79="X",ROUND($G80+($H80-$G80)*(($J$12-$I$6)/($J$6-$I$6)),0),"")</f>
      </c>
      <c r="S79" s="120">
        <f>IF($C79="X",$E78,"")</f>
      </c>
      <c r="T79" s="120">
        <f>IF($C79="X",$E80,"")</f>
      </c>
      <c r="U79" s="120">
        <f>IF($D79="X",ROUND($G78+($H78-$G78)*(($J$12-$I$6)/($J$6-$I$6)),0),"")</f>
      </c>
      <c r="V79" s="120">
        <f>IF($D79="X",ROUND($G80+($H80-$G80)*(($J$12-$I$6)/($J$6-$I$6)),0),"")</f>
      </c>
      <c r="W79" s="120">
        <f>IF($D79="X",$E78,"")</f>
      </c>
      <c r="X79" s="120">
        <f>IF($D79="X",$E80,"")</f>
      </c>
    </row>
    <row r="80" spans="5:24" ht="10.5" customHeight="1">
      <c r="E80" s="106">
        <f>IF($F$15="X",#REF!,"")</f>
      </c>
      <c r="G80" s="106">
        <f>IF($F$15="X",#REF!,"")</f>
      </c>
      <c r="H80" s="106">
        <f>IF($F$15="X",#REF!,"")</f>
      </c>
      <c r="I80" s="106">
        <f>IF($A80="X",ROUND($G80+($H80-$G80)*(($J$12-$I$6)/($J$6-$I$6)),0),"")</f>
      </c>
      <c r="J80" s="106">
        <f>IF($A80="X",ROUND($G80+($H80-$G80)*(($J$12-$I$6)/($J$6-$I$6)),0),"")</f>
      </c>
      <c r="K80" s="106">
        <f>IF($A80="X",$E80,"")</f>
      </c>
      <c r="L80" s="106">
        <f>IF($A80="X",$E82,"")</f>
      </c>
      <c r="M80" s="106">
        <f>IF($B80="X",ROUND($G80+($H80-$G80)*(($J$12-$I$6)/($J$6-$I$6)),0),"")</f>
      </c>
      <c r="N80" s="106">
        <f>IF($B80="X",ROUND($G80+($H80-$G80)*(($J$12-$I$6)/($J$6-$I$6)),0),"")</f>
      </c>
      <c r="O80" s="106">
        <f>IF($B80="X",$E80,"")</f>
      </c>
      <c r="P80" s="106">
        <f>IF($B80="X",$E82,"")</f>
      </c>
      <c r="Q80" s="106">
        <f>IF($C80="X",ROUND($G80+($H80-$G80)*(($J$12-$I$6)/($J$6-$I$6)),0),"")</f>
      </c>
      <c r="R80" s="106">
        <f>IF($C80="X",ROUND($G80+($H80-$G80)*(($J$12-$I$6)/($J$6-$I$6)),0),"")</f>
      </c>
      <c r="S80" s="106">
        <f>IF($C80="X",$E80,"")</f>
      </c>
      <c r="T80" s="106">
        <f>IF($C80="X",$E82,"")</f>
      </c>
      <c r="U80" s="106">
        <f>IF($D80="X",ROUND($G80+($H80-$G80)*(($J$12-$I$6)/($J$6-$I$6)),0),"")</f>
      </c>
      <c r="V80" s="106">
        <f>IF($D80="X",ROUND($G80+($H80-$G80)*(($J$12-$I$6)/($J$6-$I$6)),0),"")</f>
      </c>
      <c r="W80" s="106">
        <f>IF($D80="X",$E80,"")</f>
      </c>
      <c r="X80" s="106">
        <f>IF($D80="X",$E82,"")</f>
      </c>
    </row>
    <row r="81" spans="9:24" ht="10.5" customHeight="1">
      <c r="I81" s="120">
        <f>IF($A81="X",ROUND($G80+($H80-$G80)*(($J$12-$I$6)/($J$6-$I$6)),0),"")</f>
      </c>
      <c r="J81" s="120">
        <f>IF($A81="X",ROUND($G82+($H82-$G82)*(($J$12-$I$6)/($J$6-$I$6)),0),"")</f>
      </c>
      <c r="K81" s="120">
        <f>IF($A81="X",$E80,"")</f>
      </c>
      <c r="L81" s="120">
        <f>IF($A81="X",$E82,"")</f>
      </c>
      <c r="M81" s="120">
        <f>IF($B81="X",ROUND($G80+($H80-$G80)*(($J$12-$I$6)/($J$6-$I$6)),0),"")</f>
      </c>
      <c r="N81" s="120">
        <f>IF($B81="X",ROUND($G82+($H82-$G82)*(($J$12-$I$6)/($J$6-$I$6)),0),"")</f>
      </c>
      <c r="O81" s="120">
        <f>IF($B81="X",$E80,"")</f>
      </c>
      <c r="P81" s="120">
        <f>IF($B81="X",$E82,"")</f>
      </c>
      <c r="Q81" s="120">
        <f>IF($C81="X",ROUND($G80+($H80-$G80)*(($J$12-$I$6)/($J$6-$I$6)),0),"")</f>
      </c>
      <c r="R81" s="120">
        <f>IF($C81="X",ROUND($G82+($H82-$G82)*(($J$12-$I$6)/($J$6-$I$6)),0),"")</f>
      </c>
      <c r="S81" s="120">
        <f>IF($C81="X",$E80,"")</f>
      </c>
      <c r="T81" s="120">
        <f>IF($C81="X",$E82,"")</f>
      </c>
      <c r="U81" s="120">
        <f>IF($D81="X",ROUND($G80+($H80-$G80)*(($J$12-$I$6)/($J$6-$I$6)),0),"")</f>
      </c>
      <c r="V81" s="120">
        <f>IF($D81="X",ROUND($G82+($H82-$G82)*(($J$12-$I$6)/($J$6-$I$6)),0),"")</f>
      </c>
      <c r="W81" s="120">
        <f>IF($D81="X",$E80,"")</f>
      </c>
      <c r="X81" s="120">
        <f>IF($D81="X",$E82,"")</f>
      </c>
    </row>
    <row r="82" spans="5:24" ht="10.5" customHeight="1">
      <c r="E82" s="106">
        <f>IF($F$15="X",#REF!,"")</f>
      </c>
      <c r="G82" s="106">
        <f>IF($F$15="X",#REF!,"")</f>
      </c>
      <c r="H82" s="106">
        <f>IF($F$15="X",#REF!,"")</f>
      </c>
      <c r="I82" s="106">
        <f>IF($A82="X",ROUND($G82+($H82-$G82)*(($J$12-$I$6)/($J$6-$I$6)),0),"")</f>
      </c>
      <c r="J82" s="106">
        <f>IF($A82="X",ROUND($G82+($H82-$G82)*(($J$12-$I$6)/($J$6-$I$6)),0),"")</f>
      </c>
      <c r="K82" s="106">
        <f>IF($A82="X",$E82,"")</f>
      </c>
      <c r="L82" s="106">
        <f>IF($A82="X",$E84,"")</f>
      </c>
      <c r="M82" s="106">
        <f>IF($B82="X",ROUND($G82+($H82-$G82)*(($J$12-$I$6)/($J$6-$I$6)),0),"")</f>
      </c>
      <c r="N82" s="106">
        <f>IF($B82="X",ROUND($G82+($H82-$G82)*(($J$12-$I$6)/($J$6-$I$6)),0),"")</f>
      </c>
      <c r="O82" s="106">
        <f>IF($B82="X",$E82,"")</f>
      </c>
      <c r="P82" s="106">
        <f>IF($B82="X",$E84,"")</f>
      </c>
      <c r="Q82" s="106">
        <f>IF($C82="X",ROUND($G82+($H82-$G82)*(($J$12-$I$6)/($J$6-$I$6)),0),"")</f>
      </c>
      <c r="R82" s="106">
        <f>IF($C82="X",ROUND($G82+($H82-$G82)*(($J$12-$I$6)/($J$6-$I$6)),0),"")</f>
      </c>
      <c r="S82" s="106">
        <f>IF($C82="X",$E82,"")</f>
      </c>
      <c r="T82" s="106">
        <f>IF($C82="X",$E84,"")</f>
      </c>
      <c r="U82" s="106">
        <f>IF($D82="X",ROUND($G82+($H82-$G82)*(($J$12-$I$6)/($J$6-$I$6)),0),"")</f>
      </c>
      <c r="V82" s="106">
        <f>IF($D82="X",ROUND($G82+($H82-$G82)*(($J$12-$I$6)/($J$6-$I$6)),0),"")</f>
      </c>
      <c r="W82" s="106">
        <f>IF($D82="X",$E82,"")</f>
      </c>
      <c r="X82" s="106">
        <f>IF($D82="X",$E84,"")</f>
      </c>
    </row>
    <row r="83" spans="9:24" ht="10.5" customHeight="1">
      <c r="I83" s="120">
        <f>IF($A83="X",ROUND($G82+($H82-$G82)*(($J$12-$I$6)/($J$6-$I$6)),0),"")</f>
      </c>
      <c r="J83" s="120">
        <f>IF($A83="X",ROUND($G84+($H84-$G84)*(($J$12-$I$6)/($J$6-$I$6)),0),"")</f>
      </c>
      <c r="K83" s="120">
        <f>IF($A83="X",$E82,"")</f>
      </c>
      <c r="L83" s="120">
        <f>IF($A83="X",$E84,"")</f>
      </c>
      <c r="M83" s="120">
        <f>IF($B83="X",ROUND($G82+($H82-$G82)*(($J$12-$I$6)/($J$6-$I$6)),0),"")</f>
      </c>
      <c r="N83" s="120">
        <f>IF($B83="X",ROUND($G84+($H84-$G84)*(($J$12-$I$6)/($J$6-$I$6)),0),"")</f>
      </c>
      <c r="O83" s="120">
        <f>IF($B83="X",$E82,"")</f>
      </c>
      <c r="P83" s="120">
        <f>IF($B83="X",$E84,"")</f>
      </c>
      <c r="Q83" s="120">
        <f>IF($C83="X",ROUND($G82+($H82-$G82)*(($J$12-$I$6)/($J$6-$I$6)),0),"")</f>
      </c>
      <c r="R83" s="120">
        <f>IF($C83="X",ROUND($G84+($H84-$G84)*(($J$12-$I$6)/($J$6-$I$6)),0),"")</f>
      </c>
      <c r="S83" s="120">
        <f>IF($C83="X",$E82,"")</f>
      </c>
      <c r="T83" s="120">
        <f>IF($C83="X",$E84,"")</f>
      </c>
      <c r="U83" s="120">
        <f>IF($D83="X",ROUND($G82+($H82-$G82)*(($J$12-$I$6)/($J$6-$I$6)),0),"")</f>
      </c>
      <c r="V83" s="120">
        <f>IF($D83="X",ROUND($G84+($H84-$G84)*(($J$12-$I$6)/($J$6-$I$6)),0),"")</f>
      </c>
      <c r="W83" s="120">
        <f>IF($D83="X",$E82,"")</f>
      </c>
      <c r="X83" s="120">
        <f>IF($D83="X",$E84,"")</f>
      </c>
    </row>
    <row r="84" spans="5:24" ht="10.5" customHeight="1">
      <c r="E84" s="106">
        <f>IF($F$15="X",#REF!,"")</f>
      </c>
      <c r="G84" s="106">
        <f>IF($F$15="X",#REF!,"")</f>
      </c>
      <c r="H84" s="106">
        <f>IF($F$15="X",#REF!,"")</f>
      </c>
      <c r="I84" s="106">
        <f>IF($A84="X",ROUND($G84+($H84-$G84)*(($J$12-$I$6)/($J$6-$I$6)),0),"")</f>
      </c>
      <c r="J84" s="106">
        <f>IF($A84="X",ROUND($G84+($H84-$G84)*(($J$12-$I$6)/($J$6-$I$6)),0),"")</f>
      </c>
      <c r="K84" s="106">
        <f>IF($A84="X",$E84,"")</f>
      </c>
      <c r="L84" s="106">
        <f>IF($A84="X",$E86,"")</f>
      </c>
      <c r="M84" s="106">
        <f>IF($B84="X",ROUND($G84+($H84-$G84)*(($J$12-$I$6)/($J$6-$I$6)),0),"")</f>
      </c>
      <c r="N84" s="106">
        <f>IF($B84="X",ROUND($G84+($H84-$G84)*(($J$12-$I$6)/($J$6-$I$6)),0),"")</f>
      </c>
      <c r="O84" s="106">
        <f>IF($B84="X",$E84,"")</f>
      </c>
      <c r="P84" s="106">
        <f>IF($B84="X",$E86,"")</f>
      </c>
      <c r="Q84" s="106">
        <f>IF($C84="X",ROUND($G84+($H84-$G84)*(($J$12-$I$6)/($J$6-$I$6)),0),"")</f>
      </c>
      <c r="R84" s="106">
        <f>IF($C84="X",ROUND($G84+($H84-$G84)*(($J$12-$I$6)/($J$6-$I$6)),0),"")</f>
      </c>
      <c r="S84" s="106">
        <f>IF($C84="X",$E84,"")</f>
      </c>
      <c r="T84" s="106">
        <f>IF($C84="X",$E86,"")</f>
      </c>
      <c r="U84" s="106">
        <f>IF($D84="X",ROUND($G84+($H84-$G84)*(($J$12-$I$6)/($J$6-$I$6)),0),"")</f>
      </c>
      <c r="V84" s="106">
        <f>IF($D84="X",ROUND($G84+($H84-$G84)*(($J$12-$I$6)/($J$6-$I$6)),0),"")</f>
      </c>
      <c r="W84" s="106">
        <f>IF($D84="X",$E84,"")</f>
      </c>
      <c r="X84" s="106">
        <f>IF($D84="X",$E86,"")</f>
      </c>
    </row>
    <row r="85" spans="9:24" ht="10.5" customHeight="1">
      <c r="I85" s="120">
        <f>IF($A85="X",ROUND($G84+($H84-$G84)*(($J$12-$I$6)/($J$6-$I$6)),0),"")</f>
      </c>
      <c r="J85" s="120">
        <f>IF($A85="X",ROUND($G86+($H86-$G86)*(($J$12-$I$6)/($J$6-$I$6)),0),"")</f>
      </c>
      <c r="K85" s="120">
        <f>IF($A85="X",$E84,"")</f>
      </c>
      <c r="L85" s="120">
        <f>IF($A85="X",$E86,"")</f>
      </c>
      <c r="M85" s="120">
        <f>IF($B85="X",ROUND($G84+($H84-$G84)*(($J$12-$I$6)/($J$6-$I$6)),0),"")</f>
      </c>
      <c r="N85" s="120">
        <f>IF($B85="X",ROUND($G86+($H86-$G86)*(($J$12-$I$6)/($J$6-$I$6)),0),"")</f>
      </c>
      <c r="O85" s="120">
        <f>IF($B85="X",$E84,"")</f>
      </c>
      <c r="P85" s="120">
        <f>IF($B85="X",$E86,"")</f>
      </c>
      <c r="Q85" s="120">
        <f>IF($C85="X",ROUND($G84+($H84-$G84)*(($J$12-$I$6)/($J$6-$I$6)),0),"")</f>
      </c>
      <c r="R85" s="120">
        <f>IF($C85="X",ROUND($G86+($H86-$G86)*(($J$12-$I$6)/($J$6-$I$6)),0),"")</f>
      </c>
      <c r="S85" s="120">
        <f>IF($C85="X",$E84,"")</f>
      </c>
      <c r="T85" s="120">
        <f>IF($C85="X",$E86,"")</f>
      </c>
      <c r="U85" s="120">
        <f>IF($D85="X",ROUND($G84+($H84-$G84)*(($J$12-$I$6)/($J$6-$I$6)),0),"")</f>
      </c>
      <c r="V85" s="120">
        <f>IF($D85="X",ROUND($G86+($H86-$G86)*(($J$12-$I$6)/($J$6-$I$6)),0),"")</f>
      </c>
      <c r="W85" s="120">
        <f>IF($D85="X",$E84,"")</f>
      </c>
      <c r="X85" s="120">
        <f>IF($D85="X",$E86,"")</f>
      </c>
    </row>
    <row r="86" spans="5:24" ht="10.5" customHeight="1">
      <c r="E86" s="106">
        <f>IF($F$15="X",#REF!,"")</f>
      </c>
      <c r="G86" s="106">
        <f>IF($F$15="X",#REF!,"")</f>
      </c>
      <c r="H86" s="106">
        <f>IF($F$15="X",#REF!,"")</f>
      </c>
      <c r="I86" s="106">
        <f>IF($A86="X",ROUND($G86+($H86-$G86)*(($J$12-$I$6)/($J$6-$I$6)),0),"")</f>
      </c>
      <c r="J86" s="106">
        <f>IF($A86="X",ROUND($G86+($H86-$G86)*(($J$12-$I$6)/($J$6-$I$6)),0),"")</f>
      </c>
      <c r="K86" s="106">
        <f>IF($A86="X",$E86,"")</f>
      </c>
      <c r="L86" s="106">
        <f>IF($A86="X",$E88,"")</f>
      </c>
      <c r="M86" s="106">
        <f>IF($B86="X",ROUND($G86+($H86-$G86)*(($J$12-$I$6)/($J$6-$I$6)),0),"")</f>
      </c>
      <c r="N86" s="106">
        <f>IF($B86="X",ROUND($G86+($H86-$G86)*(($J$12-$I$6)/($J$6-$I$6)),0),"")</f>
      </c>
      <c r="O86" s="106">
        <f>IF($B86="X",$E86,"")</f>
      </c>
      <c r="P86" s="106">
        <f>IF($B86="X",$E88,"")</f>
      </c>
      <c r="Q86" s="106">
        <f>IF($C86="X",ROUND($G86+($H86-$G86)*(($J$12-$I$6)/($J$6-$I$6)),0),"")</f>
      </c>
      <c r="R86" s="106">
        <f>IF($C86="X",ROUND($G86+($H86-$G86)*(($J$12-$I$6)/($J$6-$I$6)),0),"")</f>
      </c>
      <c r="S86" s="106">
        <f>IF($C86="X",$E86,"")</f>
      </c>
      <c r="T86" s="106">
        <f>IF($C86="X",$E88,"")</f>
      </c>
      <c r="U86" s="106">
        <f>IF($D86="X",ROUND($G86+($H86-$G86)*(($J$12-$I$6)/($J$6-$I$6)),0),"")</f>
      </c>
      <c r="V86" s="106">
        <f>IF($D86="X",ROUND($G86+($H86-$G86)*(($J$12-$I$6)/($J$6-$I$6)),0),"")</f>
      </c>
      <c r="W86" s="106">
        <f>IF($D86="X",$E86,"")</f>
      </c>
      <c r="X86" s="106">
        <f>IF($D86="X",$E88,"")</f>
      </c>
    </row>
    <row r="87" spans="9:24" ht="10.5" customHeight="1">
      <c r="I87" s="120">
        <f>IF($A87="X",ROUND($G86+($H86-$G86)*(($J$12-$I$6)/($J$6-$I$6)),0),"")</f>
      </c>
      <c r="J87" s="120">
        <f>IF($A87="X",ROUND($G88+($H88-$G88)*(($J$12-$I$6)/($J$6-$I$6)),0),"")</f>
      </c>
      <c r="K87" s="120">
        <f>IF($A87="X",$E86,"")</f>
      </c>
      <c r="L87" s="120">
        <f>IF($A87="X",$E88,"")</f>
      </c>
      <c r="M87" s="120">
        <f>IF($B87="X",ROUND($G86+($H86-$G86)*(($J$12-$I$6)/($J$6-$I$6)),0),"")</f>
      </c>
      <c r="N87" s="120">
        <f>IF($B87="X",ROUND($G88+($H88-$G88)*(($J$12-$I$6)/($J$6-$I$6)),0),"")</f>
      </c>
      <c r="O87" s="120">
        <f>IF($B87="X",$E86,"")</f>
      </c>
      <c r="P87" s="120">
        <f>IF($B87="X",$E88,"")</f>
      </c>
      <c r="Q87" s="120">
        <f>IF($C87="X",ROUND($G86+($H86-$G86)*(($J$12-$I$6)/($J$6-$I$6)),0),"")</f>
      </c>
      <c r="R87" s="120">
        <f>IF($C87="X",ROUND($G88+($H88-$G88)*(($J$12-$I$6)/($J$6-$I$6)),0),"")</f>
      </c>
      <c r="S87" s="120">
        <f>IF($C87="X",$E86,"")</f>
      </c>
      <c r="T87" s="120">
        <f>IF($C87="X",$E88,"")</f>
      </c>
      <c r="U87" s="120">
        <f>IF($D87="X",ROUND($G86+($H86-$G86)*(($J$12-$I$6)/($J$6-$I$6)),0),"")</f>
      </c>
      <c r="V87" s="120">
        <f>IF($D87="X",ROUND($G88+($H88-$G88)*(($J$12-$I$6)/($J$6-$I$6)),0),"")</f>
      </c>
      <c r="W87" s="120">
        <f>IF($D87="X",$E86,"")</f>
      </c>
      <c r="X87" s="120">
        <f>IF($D87="X",$E88,"")</f>
      </c>
    </row>
    <row r="88" spans="5:24" ht="10.5" customHeight="1">
      <c r="E88" s="106">
        <f>IF($F$15="X",#REF!,"")</f>
      </c>
      <c r="G88" s="106">
        <f>IF($F$15="X",#REF!,"")</f>
      </c>
      <c r="H88" s="106">
        <f>IF($F$15="X",#REF!,"")</f>
      </c>
      <c r="I88" s="106">
        <f>IF($A88="X",ROUND($G88+($H88-$G88)*(($J$12-$I$6)/($J$6-$I$6)),0),"")</f>
      </c>
      <c r="J88" s="106">
        <f>IF($A88="X",ROUND($G88+($H88-$G88)*(($J$12-$I$6)/($J$6-$I$6)),0),"")</f>
      </c>
      <c r="K88" s="106">
        <f>IF($A88="X",$E88,"")</f>
      </c>
      <c r="L88" s="106">
        <f>IF($A88="X",$E90,"")</f>
      </c>
      <c r="M88" s="106">
        <f>IF($B88="X",ROUND($G88+($H88-$G88)*(($J$12-$I$6)/($J$6-$I$6)),0),"")</f>
      </c>
      <c r="N88" s="106">
        <f>IF($B88="X",ROUND($G88+($H88-$G88)*(($J$12-$I$6)/($J$6-$I$6)),0),"")</f>
      </c>
      <c r="O88" s="106">
        <f>IF($B88="X",$E88,"")</f>
      </c>
      <c r="P88" s="106">
        <f>IF($B88="X",$E90,"")</f>
      </c>
      <c r="Q88" s="106">
        <f>IF($C88="X",ROUND($G88+($H88-$G88)*(($J$12-$I$6)/($J$6-$I$6)),0),"")</f>
      </c>
      <c r="R88" s="106">
        <f>IF($C88="X",ROUND($G88+($H88-$G88)*(($J$12-$I$6)/($J$6-$I$6)),0),"")</f>
      </c>
      <c r="S88" s="106">
        <f>IF($C88="X",$E88,"")</f>
      </c>
      <c r="T88" s="106">
        <f>IF($C88="X",$E90,"")</f>
      </c>
      <c r="U88" s="106">
        <f>IF($D88="X",ROUND($G88+($H88-$G88)*(($J$12-$I$6)/($J$6-$I$6)),0),"")</f>
      </c>
      <c r="V88" s="106">
        <f>IF($D88="X",ROUND($G88+($H88-$G88)*(($J$12-$I$6)/($J$6-$I$6)),0),"")</f>
      </c>
      <c r="W88" s="106">
        <f>IF($D88="X",$E88,"")</f>
      </c>
      <c r="X88" s="106">
        <f>IF($D88="X",$E90,"")</f>
      </c>
    </row>
    <row r="89" spans="9:24" ht="10.5" customHeight="1">
      <c r="I89" s="120">
        <f>IF($A89="X",ROUND($G88+($H88-$G88)*(($J$12-$I$6)/($J$6-$I$6)),0),"")</f>
      </c>
      <c r="J89" s="120">
        <f>IF($A89="X",ROUND($G90+($H90-$G90)*(($J$12-$I$6)/($J$6-$I$6)),0),"")</f>
      </c>
      <c r="K89" s="120">
        <f>IF($A89="X",$E88,"")</f>
      </c>
      <c r="L89" s="120">
        <f>IF($A89="X",$E90,"")</f>
      </c>
      <c r="M89" s="120">
        <f>IF($B89="X",ROUND($G88+($H88-$G88)*(($J$12-$I$6)/($J$6-$I$6)),0),"")</f>
      </c>
      <c r="N89" s="120">
        <f>IF($B89="X",ROUND($G90+($H90-$G90)*(($J$12-$I$6)/($J$6-$I$6)),0),"")</f>
      </c>
      <c r="O89" s="120">
        <f>IF($B89="X",$E88,"")</f>
      </c>
      <c r="P89" s="120">
        <f>IF($B89="X",$E90,"")</f>
      </c>
      <c r="Q89" s="120">
        <f>IF($C89="X",ROUND($G88+($H88-$G88)*(($J$12-$I$6)/($J$6-$I$6)),0),"")</f>
      </c>
      <c r="R89" s="120">
        <f>IF($C89="X",ROUND($G90+($H90-$G90)*(($J$12-$I$6)/($J$6-$I$6)),0),"")</f>
      </c>
      <c r="S89" s="120">
        <f>IF($C89="X",$E88,"")</f>
      </c>
      <c r="T89" s="120">
        <f>IF($C89="X",$E90,"")</f>
      </c>
      <c r="U89" s="120">
        <f>IF($D89="X",ROUND($G88+($H88-$G88)*(($J$12-$I$6)/($J$6-$I$6)),0),"")</f>
      </c>
      <c r="V89" s="120">
        <f>IF($D89="X",ROUND($G90+($H90-$G90)*(($J$12-$I$6)/($J$6-$I$6)),0),"")</f>
      </c>
      <c r="W89" s="120">
        <f>IF($D89="X",$E88,"")</f>
      </c>
      <c r="X89" s="120">
        <f>IF($D89="X",$E90,"")</f>
      </c>
    </row>
    <row r="90" spans="5:24" ht="10.5" customHeight="1">
      <c r="E90" s="106">
        <f>IF($F$15="X",#REF!,"")</f>
      </c>
      <c r="G90" s="106">
        <f>IF($F$15="X",#REF!,"")</f>
      </c>
      <c r="H90" s="106">
        <f>IF($F$15="X",#REF!,"")</f>
      </c>
      <c r="I90" s="106">
        <f>IF($A90="X",ROUND($G90+($H90-$G90)*(($J$12-$I$6)/($J$6-$I$6)),0),"")</f>
      </c>
      <c r="J90" s="106">
        <f>IF($A90="X",ROUND($G90+($H90-$G90)*(($J$12-$I$6)/($J$6-$I$6)),0),"")</f>
      </c>
      <c r="K90" s="106">
        <f>IF($A90="X",$E90,"")</f>
      </c>
      <c r="L90" s="106">
        <f>IF($A90="X",$E92,"")</f>
      </c>
      <c r="M90" s="106">
        <f>IF($B90="X",ROUND($G90+($H90-$G90)*(($J$12-$I$6)/($J$6-$I$6)),0),"")</f>
      </c>
      <c r="N90" s="106">
        <f>IF($B90="X",ROUND($G90+($H90-$G90)*(($J$12-$I$6)/($J$6-$I$6)),0),"")</f>
      </c>
      <c r="O90" s="106">
        <f>IF($B90="X",$E90,"")</f>
      </c>
      <c r="P90" s="106">
        <f>IF($B90="X",$E92,"")</f>
      </c>
      <c r="Q90" s="106">
        <f>IF($C90="X",ROUND($G90+($H90-$G90)*(($J$12-$I$6)/($J$6-$I$6)),0),"")</f>
      </c>
      <c r="R90" s="106">
        <f>IF($C90="X",ROUND($G90+($H90-$G90)*(($J$12-$I$6)/($J$6-$I$6)),0),"")</f>
      </c>
      <c r="S90" s="106">
        <f>IF($C90="X",$E90,"")</f>
      </c>
      <c r="T90" s="106">
        <f>IF($C90="X",$E92,"")</f>
      </c>
      <c r="U90" s="106">
        <f>IF($D90="X",ROUND($G90+($H90-$G90)*(($J$12-$I$6)/($J$6-$I$6)),0),"")</f>
      </c>
      <c r="V90" s="106">
        <f>IF($D90="X",ROUND($G90+($H90-$G90)*(($J$12-$I$6)/($J$6-$I$6)),0),"")</f>
      </c>
      <c r="W90" s="106">
        <f>IF($D90="X",$E90,"")</f>
      </c>
      <c r="X90" s="106">
        <f>IF($D90="X",$E92,"")</f>
      </c>
    </row>
    <row r="91" spans="9:24" ht="10.5" customHeight="1">
      <c r="I91" s="120">
        <f>IF($A91="X",ROUND($G90+($H90-$G90)*(($J$12-$I$6)/($J$6-$I$6)),0),"")</f>
      </c>
      <c r="J91" s="120">
        <f>IF($A91="X",ROUND($G92+($H92-$G92)*(($J$12-$I$6)/($J$6-$I$6)),0),"")</f>
      </c>
      <c r="K91" s="120">
        <f>IF($A91="X",$E90,"")</f>
      </c>
      <c r="L91" s="120">
        <f>IF($A91="X",$E92,"")</f>
      </c>
      <c r="M91" s="120">
        <f>IF($B91="X",ROUND($G90+($H90-$G90)*(($J$12-$I$6)/($J$6-$I$6)),0),"")</f>
      </c>
      <c r="N91" s="120">
        <f>IF($B91="X",ROUND($G92+($H92-$G92)*(($J$12-$I$6)/($J$6-$I$6)),0),"")</f>
      </c>
      <c r="O91" s="120">
        <f>IF($B91="X",$E90,"")</f>
      </c>
      <c r="P91" s="120">
        <f>IF($B91="X",$E92,"")</f>
      </c>
      <c r="Q91" s="120">
        <f>IF($C91="X",ROUND($G90+($H90-$G90)*(($J$12-$I$6)/($J$6-$I$6)),0),"")</f>
      </c>
      <c r="R91" s="120">
        <f>IF($C91="X",ROUND($G92+($H92-$G92)*(($J$12-$I$6)/($J$6-$I$6)),0),"")</f>
      </c>
      <c r="S91" s="120">
        <f>IF($C91="X",$E90,"")</f>
      </c>
      <c r="T91" s="120">
        <f>IF($C91="X",$E92,"")</f>
      </c>
      <c r="U91" s="120">
        <f>IF($D91="X",ROUND($G90+($H90-$G90)*(($J$12-$I$6)/($J$6-$I$6)),0),"")</f>
      </c>
      <c r="V91" s="120">
        <f>IF($D91="X",ROUND($G92+($H92-$G92)*(($J$12-$I$6)/($J$6-$I$6)),0),"")</f>
      </c>
      <c r="W91" s="120">
        <f>IF($D91="X",$E90,"")</f>
      </c>
      <c r="X91" s="120">
        <f>IF($D91="X",$E92,"")</f>
      </c>
    </row>
  </sheetData>
  <sheetProtection password="CBC6" sheet="1" objects="1" scenarios="1"/>
  <printOptions horizontalCentered="1" verticalCentered="1"/>
  <pageMargins left="0" right="0" top="0.5905511811023623" bottom="0.5905511811023623" header="0.31496062992125984" footer="0.31496062992125984"/>
  <pageSetup fitToHeight="1" fitToWidth="1" horizontalDpi="300" verticalDpi="3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D15" sqref="D15"/>
    </sheetView>
  </sheetViews>
  <sheetFormatPr defaultColWidth="11.421875" defaultRowHeight="12.75"/>
  <cols>
    <col min="1" max="16384" width="11.421875" style="101" customWidth="1"/>
  </cols>
  <sheetData>
    <row r="1" ht="18">
      <c r="A1" s="632" t="s">
        <v>325</v>
      </c>
    </row>
    <row r="2" ht="18">
      <c r="A2" s="632" t="s">
        <v>326</v>
      </c>
    </row>
    <row r="3" ht="18">
      <c r="A3" s="633" t="s">
        <v>327</v>
      </c>
    </row>
  </sheetData>
  <sheetProtection password="C611" sheet="1" objects="1" scenarios="1"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78"/>
  <sheetViews>
    <sheetView showZeros="0" tabSelected="1" workbookViewId="0" topLeftCell="A1">
      <selection activeCell="E16" sqref="E16"/>
    </sheetView>
  </sheetViews>
  <sheetFormatPr defaultColWidth="11.421875" defaultRowHeight="12.75"/>
  <cols>
    <col min="1" max="1" width="3.7109375" style="4" customWidth="1"/>
    <col min="2" max="2" width="14.140625" style="4" customWidth="1"/>
    <col min="3" max="3" width="4.7109375" style="4" customWidth="1"/>
    <col min="4" max="5" width="12.140625" style="4" customWidth="1"/>
    <col min="6" max="6" width="4.57421875" style="4" customWidth="1"/>
    <col min="7" max="7" width="12.57421875" style="4" customWidth="1"/>
    <col min="8" max="8" width="11.00390625" style="4" customWidth="1"/>
    <col min="9" max="9" width="5.57421875" style="4" customWidth="1"/>
    <col min="10" max="12" width="4.7109375" style="4" customWidth="1"/>
    <col min="13" max="13" width="2.00390625" style="4" customWidth="1"/>
    <col min="14" max="14" width="13.8515625" style="4" customWidth="1"/>
    <col min="15" max="23" width="5.28125" style="4" customWidth="1"/>
    <col min="24" max="25" width="11.7109375" style="4" customWidth="1"/>
    <col min="26" max="26" width="12.140625" style="4" customWidth="1"/>
    <col min="27" max="28" width="9.8515625" style="6" customWidth="1"/>
    <col min="29" max="29" width="11.57421875" style="6" bestFit="1" customWidth="1"/>
    <col min="30" max="107" width="11.421875" style="6" customWidth="1"/>
    <col min="108" max="16384" width="11.421875" style="4" customWidth="1"/>
  </cols>
  <sheetData>
    <row r="1" spans="1:26" ht="21.75" customHeight="1">
      <c r="A1" s="611" t="s">
        <v>58</v>
      </c>
      <c r="B1" s="612"/>
      <c r="C1" s="261"/>
      <c r="D1" s="262"/>
      <c r="E1" s="263" t="s">
        <v>34</v>
      </c>
      <c r="F1" s="264" t="str">
        <f>IF(A28="X",B28,IF(A29="X",B29,IF(A30="X",B30,"")))</f>
        <v>Gebäude</v>
      </c>
      <c r="G1" s="262"/>
      <c r="H1" s="262"/>
      <c r="I1" s="265"/>
      <c r="J1" s="611" t="s">
        <v>149</v>
      </c>
      <c r="K1" s="612"/>
      <c r="L1" s="612"/>
      <c r="M1" s="251"/>
      <c r="N1" s="262"/>
      <c r="O1" s="174" t="s">
        <v>118</v>
      </c>
      <c r="P1" s="262"/>
      <c r="Q1" s="262"/>
      <c r="R1" s="262"/>
      <c r="S1" s="262"/>
      <c r="T1" s="262"/>
      <c r="U1" s="262"/>
      <c r="V1" s="262"/>
      <c r="W1" s="262"/>
      <c r="X1" s="299"/>
      <c r="Y1" s="300" t="s">
        <v>165</v>
      </c>
      <c r="Z1" s="296"/>
    </row>
    <row r="2" spans="1:26" ht="12.75" customHeight="1">
      <c r="A2" s="269"/>
      <c r="B2" s="7" t="s">
        <v>96</v>
      </c>
      <c r="C2" s="266"/>
      <c r="D2" s="266"/>
      <c r="E2" s="266"/>
      <c r="F2" s="166"/>
      <c r="G2" s="166"/>
      <c r="H2" s="166"/>
      <c r="I2" s="267"/>
      <c r="J2" s="9" t="s">
        <v>20</v>
      </c>
      <c r="K2" s="10"/>
      <c r="L2" s="10"/>
      <c r="M2" s="10"/>
      <c r="N2" s="10"/>
      <c r="O2" s="285">
        <v>0.03</v>
      </c>
      <c r="P2" s="285">
        <v>0.07</v>
      </c>
      <c r="Q2" s="285">
        <v>0.11</v>
      </c>
      <c r="R2" s="285">
        <v>0.06</v>
      </c>
      <c r="S2" s="285">
        <v>0.25</v>
      </c>
      <c r="T2" s="285">
        <v>0.1</v>
      </c>
      <c r="U2" s="285">
        <v>0.04</v>
      </c>
      <c r="V2" s="285">
        <v>0.31</v>
      </c>
      <c r="W2" s="285">
        <v>0.03</v>
      </c>
      <c r="X2" s="257"/>
      <c r="Y2" s="301" t="s">
        <v>119</v>
      </c>
      <c r="Z2" s="297" t="s">
        <v>120</v>
      </c>
    </row>
    <row r="3" spans="1:26" ht="12.75" customHeight="1">
      <c r="A3" s="269"/>
      <c r="B3" s="43" t="s">
        <v>35</v>
      </c>
      <c r="C3" s="606" t="s">
        <v>64</v>
      </c>
      <c r="D3" s="607"/>
      <c r="E3" s="607"/>
      <c r="F3" s="607"/>
      <c r="G3" s="608"/>
      <c r="H3" s="166"/>
      <c r="I3" s="267"/>
      <c r="J3" s="13" t="s">
        <v>21</v>
      </c>
      <c r="K3" s="14"/>
      <c r="L3" s="14"/>
      <c r="M3" s="14"/>
      <c r="N3" s="14"/>
      <c r="O3" s="285">
        <v>0.03</v>
      </c>
      <c r="P3" s="285">
        <v>0.07</v>
      </c>
      <c r="Q3" s="285">
        <v>0.14</v>
      </c>
      <c r="R3" s="285">
        <v>0.02</v>
      </c>
      <c r="S3" s="285">
        <v>0.3</v>
      </c>
      <c r="T3" s="285">
        <v>0.07</v>
      </c>
      <c r="U3" s="285">
        <v>0.03</v>
      </c>
      <c r="V3" s="285">
        <v>0.31</v>
      </c>
      <c r="W3" s="285">
        <v>0.03</v>
      </c>
      <c r="X3" s="257"/>
      <c r="Y3" s="301" t="s">
        <v>52</v>
      </c>
      <c r="Z3" s="297" t="s">
        <v>138</v>
      </c>
    </row>
    <row r="4" spans="1:26" ht="12.75" customHeight="1">
      <c r="A4" s="269"/>
      <c r="B4" s="43" t="s">
        <v>45</v>
      </c>
      <c r="C4" s="606" t="s">
        <v>46</v>
      </c>
      <c r="D4" s="607"/>
      <c r="E4" s="607"/>
      <c r="F4" s="607"/>
      <c r="G4" s="608"/>
      <c r="H4" s="166"/>
      <c r="I4" s="267"/>
      <c r="J4" s="15" t="s">
        <v>22</v>
      </c>
      <c r="K4" s="16"/>
      <c r="L4" s="16"/>
      <c r="M4" s="16"/>
      <c r="N4" s="16"/>
      <c r="O4" s="285">
        <v>0.03</v>
      </c>
      <c r="P4" s="393">
        <v>0.1</v>
      </c>
      <c r="Q4" s="285">
        <v>0.15</v>
      </c>
      <c r="R4" s="285">
        <v>0.06</v>
      </c>
      <c r="S4" s="285">
        <v>0.24</v>
      </c>
      <c r="T4" s="393">
        <v>0.07</v>
      </c>
      <c r="U4" s="285">
        <v>0.03</v>
      </c>
      <c r="V4" s="285">
        <v>0.29</v>
      </c>
      <c r="W4" s="393">
        <v>0.03</v>
      </c>
      <c r="X4" s="17" t="s">
        <v>68</v>
      </c>
      <c r="Y4" s="18" t="e">
        <f>IF(B35=0,"",SUM(E38*SUM($O$17:$R$17)))</f>
        <v>#VALUE!</v>
      </c>
      <c r="Z4" s="297" t="s">
        <v>52</v>
      </c>
    </row>
    <row r="5" spans="1:26" ht="12.75" customHeight="1">
      <c r="A5" s="269"/>
      <c r="B5" s="43" t="s">
        <v>59</v>
      </c>
      <c r="C5" s="615" t="s">
        <v>41</v>
      </c>
      <c r="D5" s="616"/>
      <c r="E5" s="166"/>
      <c r="F5" s="166"/>
      <c r="G5" s="166"/>
      <c r="H5" s="166"/>
      <c r="I5" s="267"/>
      <c r="J5" s="270" t="s">
        <v>115</v>
      </c>
      <c r="K5" s="257"/>
      <c r="L5" s="257"/>
      <c r="M5" s="257"/>
      <c r="N5" s="257"/>
      <c r="O5" s="17" t="s">
        <v>226</v>
      </c>
      <c r="P5" s="209" t="s">
        <v>6</v>
      </c>
      <c r="Q5" s="366"/>
      <c r="R5" s="257"/>
      <c r="S5" s="206" t="s">
        <v>227</v>
      </c>
      <c r="T5" s="210" t="s">
        <v>67</v>
      </c>
      <c r="U5" s="257"/>
      <c r="V5" s="207" t="s">
        <v>228</v>
      </c>
      <c r="W5" s="394" t="s">
        <v>65</v>
      </c>
      <c r="X5" s="208" t="s">
        <v>6</v>
      </c>
      <c r="Y5" s="19">
        <f>IF(B41="","",SUM(E44*SUM($O$17:$R$17)))</f>
      </c>
      <c r="Z5" s="298" t="s">
        <v>90</v>
      </c>
    </row>
    <row r="6" spans="1:26" ht="12.75" customHeight="1">
      <c r="A6" s="269"/>
      <c r="B6" s="43" t="s">
        <v>60</v>
      </c>
      <c r="C6" s="166"/>
      <c r="D6" s="166"/>
      <c r="E6" s="166"/>
      <c r="F6" s="166"/>
      <c r="G6" s="166"/>
      <c r="H6" s="166"/>
      <c r="I6" s="267"/>
      <c r="J6" s="270" t="s">
        <v>116</v>
      </c>
      <c r="K6" s="43"/>
      <c r="L6" s="43"/>
      <c r="M6" s="43"/>
      <c r="N6" s="43"/>
      <c r="O6" s="20">
        <v>1</v>
      </c>
      <c r="P6" s="20">
        <v>2</v>
      </c>
      <c r="Q6" s="20">
        <v>3</v>
      </c>
      <c r="R6" s="20">
        <v>4</v>
      </c>
      <c r="S6" s="21">
        <v>5</v>
      </c>
      <c r="T6" s="21">
        <v>6</v>
      </c>
      <c r="U6" s="21">
        <v>7</v>
      </c>
      <c r="V6" s="22">
        <v>8</v>
      </c>
      <c r="W6" s="22">
        <v>9</v>
      </c>
      <c r="X6" s="189" t="s">
        <v>111</v>
      </c>
      <c r="Y6" s="272" t="e">
        <f>IF(Y4="","",IF($F$29="","",IF(Y5="",SUM(Y4*$F$29),SUM(Y5*$F$29))))</f>
        <v>#VALUE!</v>
      </c>
      <c r="Z6" s="45" t="e">
        <f>SUM(Y5:Y6)</f>
        <v>#VALUE!</v>
      </c>
    </row>
    <row r="7" spans="1:26" ht="12.75" customHeight="1">
      <c r="A7" s="269"/>
      <c r="B7" s="43" t="s">
        <v>37</v>
      </c>
      <c r="C7" s="606" t="s">
        <v>36</v>
      </c>
      <c r="D7" s="607"/>
      <c r="E7" s="607"/>
      <c r="F7" s="607"/>
      <c r="G7" s="608"/>
      <c r="H7" s="166"/>
      <c r="I7" s="267"/>
      <c r="J7" s="270" t="s">
        <v>117</v>
      </c>
      <c r="K7" s="43"/>
      <c r="L7" s="43"/>
      <c r="M7" s="43"/>
      <c r="N7" s="43"/>
      <c r="O7" s="609" t="s">
        <v>24</v>
      </c>
      <c r="P7" s="609" t="s">
        <v>25</v>
      </c>
      <c r="Q7" s="609" t="s">
        <v>26</v>
      </c>
      <c r="R7" s="609" t="s">
        <v>49</v>
      </c>
      <c r="S7" s="610" t="s">
        <v>27</v>
      </c>
      <c r="T7" s="610" t="s">
        <v>28</v>
      </c>
      <c r="U7" s="610" t="s">
        <v>29</v>
      </c>
      <c r="V7" s="605" t="s">
        <v>30</v>
      </c>
      <c r="W7" s="605" t="s">
        <v>31</v>
      </c>
      <c r="X7" s="288" t="s">
        <v>52</v>
      </c>
      <c r="Y7" s="283">
        <f>IF($F$21="","",SUM(Y5:Y6)*$F$21)</f>
      </c>
      <c r="Z7" s="287">
        <f>IF($F$21="","",SUM(Z6,Y7))</f>
      </c>
    </row>
    <row r="8" spans="1:26" ht="12.75" customHeight="1">
      <c r="A8" s="269"/>
      <c r="B8" s="43" t="s">
        <v>44</v>
      </c>
      <c r="C8" s="606" t="s">
        <v>38</v>
      </c>
      <c r="D8" s="607"/>
      <c r="E8" s="607"/>
      <c r="F8" s="607"/>
      <c r="G8" s="608"/>
      <c r="H8" s="166"/>
      <c r="I8" s="267"/>
      <c r="J8" s="270"/>
      <c r="K8" s="43"/>
      <c r="L8" s="43"/>
      <c r="M8" s="43"/>
      <c r="N8" s="30" t="s">
        <v>141</v>
      </c>
      <c r="O8" s="609"/>
      <c r="P8" s="609"/>
      <c r="Q8" s="609"/>
      <c r="R8" s="609"/>
      <c r="S8" s="610"/>
      <c r="T8" s="610"/>
      <c r="U8" s="610"/>
      <c r="V8" s="605"/>
      <c r="W8" s="605"/>
      <c r="X8" s="205" t="s">
        <v>6</v>
      </c>
      <c r="Y8" s="24">
        <f>IF(B41="","",SUM(E44*SUM($S$17:$U$17)))</f>
      </c>
      <c r="Z8" s="267"/>
    </row>
    <row r="9" spans="1:26" ht="12.75">
      <c r="A9" s="269"/>
      <c r="B9" s="43" t="s">
        <v>103</v>
      </c>
      <c r="C9" s="606" t="s">
        <v>39</v>
      </c>
      <c r="D9" s="607"/>
      <c r="E9" s="607"/>
      <c r="F9" s="607"/>
      <c r="G9" s="608"/>
      <c r="H9" s="166"/>
      <c r="I9" s="267"/>
      <c r="J9" s="270"/>
      <c r="K9" s="43" t="s">
        <v>288</v>
      </c>
      <c r="L9" s="128"/>
      <c r="M9" s="30" t="str">
        <f>IF($A$21="X",$C$21,IF($A$22="X",$C$22,""))</f>
        <v>€</v>
      </c>
      <c r="N9" s="357"/>
      <c r="O9" s="609"/>
      <c r="P9" s="609"/>
      <c r="Q9" s="609"/>
      <c r="R9" s="609"/>
      <c r="S9" s="610"/>
      <c r="T9" s="610"/>
      <c r="U9" s="610"/>
      <c r="V9" s="605"/>
      <c r="W9" s="605"/>
      <c r="X9" s="192" t="s">
        <v>67</v>
      </c>
      <c r="Y9" s="25">
        <f>IF(B47="","",SUM(E50*SUM($S$17:$U$17)))</f>
      </c>
      <c r="Z9" s="298" t="s">
        <v>90</v>
      </c>
    </row>
    <row r="10" spans="1:26" ht="12.75">
      <c r="A10" s="269"/>
      <c r="B10" s="43" t="s">
        <v>43</v>
      </c>
      <c r="C10" s="606" t="s">
        <v>40</v>
      </c>
      <c r="D10" s="607"/>
      <c r="E10" s="607"/>
      <c r="F10" s="607"/>
      <c r="G10" s="608"/>
      <c r="H10" s="166"/>
      <c r="I10" s="267"/>
      <c r="J10" s="166"/>
      <c r="K10" s="43" t="s">
        <v>142</v>
      </c>
      <c r="L10" s="43"/>
      <c r="M10" s="43"/>
      <c r="N10" s="166"/>
      <c r="O10" s="609"/>
      <c r="P10" s="609"/>
      <c r="Q10" s="609"/>
      <c r="R10" s="609"/>
      <c r="S10" s="610"/>
      <c r="T10" s="610"/>
      <c r="U10" s="610"/>
      <c r="V10" s="605"/>
      <c r="W10" s="605"/>
      <c r="X10" s="189" t="s">
        <v>111</v>
      </c>
      <c r="Y10" s="272">
        <f>IF(Y8="","",IF($F$29="","",IF(Y9="",SUM(Y8*$F$29),SUM(Y9*$F$29))))</f>
      </c>
      <c r="Z10" s="45">
        <f>SUM(Y9:Y10)</f>
        <v>0</v>
      </c>
    </row>
    <row r="11" spans="1:26" ht="12.75">
      <c r="A11" s="269"/>
      <c r="B11" s="43" t="s">
        <v>147</v>
      </c>
      <c r="C11" s="43"/>
      <c r="D11" s="43"/>
      <c r="E11" s="43"/>
      <c r="F11" s="358" t="s">
        <v>148</v>
      </c>
      <c r="G11" s="166"/>
      <c r="H11" s="166"/>
      <c r="I11" s="267"/>
      <c r="J11" s="166"/>
      <c r="K11" s="43" t="s">
        <v>143</v>
      </c>
      <c r="L11" s="43"/>
      <c r="M11" s="43"/>
      <c r="N11" s="43"/>
      <c r="O11" s="609"/>
      <c r="P11" s="609"/>
      <c r="Q11" s="609"/>
      <c r="R11" s="609"/>
      <c r="S11" s="610"/>
      <c r="T11" s="610"/>
      <c r="U11" s="610"/>
      <c r="V11" s="605"/>
      <c r="W11" s="605"/>
      <c r="X11" s="288" t="s">
        <v>52</v>
      </c>
      <c r="Y11" s="283">
        <f>IF($F$21="","",SUM(Y9:Y10)*$F$21)</f>
      </c>
      <c r="Z11" s="287">
        <f>IF($F$21="","",SUM(Z10,Y11))</f>
      </c>
    </row>
    <row r="12" spans="1:26" ht="12.75">
      <c r="A12" s="269"/>
      <c r="B12" s="166"/>
      <c r="C12" s="166"/>
      <c r="D12" s="166"/>
      <c r="E12" s="166"/>
      <c r="F12" s="166"/>
      <c r="G12" s="166"/>
      <c r="H12" s="166"/>
      <c r="I12" s="267"/>
      <c r="J12" s="270"/>
      <c r="K12" s="43" t="s">
        <v>144</v>
      </c>
      <c r="L12" s="43"/>
      <c r="M12" s="43"/>
      <c r="N12" s="43"/>
      <c r="O12" s="609"/>
      <c r="P12" s="609"/>
      <c r="Q12" s="609"/>
      <c r="R12" s="609"/>
      <c r="S12" s="610"/>
      <c r="T12" s="610"/>
      <c r="U12" s="610"/>
      <c r="V12" s="605"/>
      <c r="W12" s="605"/>
      <c r="X12" s="193" t="s">
        <v>67</v>
      </c>
      <c r="Y12" s="26">
        <f>IF(B47="","",SUM(E50*SUM($V$17:$W$17)))</f>
      </c>
      <c r="Z12" s="267"/>
    </row>
    <row r="13" spans="1:26" ht="12.75" customHeight="1">
      <c r="A13" s="270" t="s">
        <v>7</v>
      </c>
      <c r="B13" s="43"/>
      <c r="C13" s="43"/>
      <c r="D13" s="43" t="s">
        <v>77</v>
      </c>
      <c r="E13" s="359">
        <v>36718</v>
      </c>
      <c r="F13" s="166"/>
      <c r="G13" s="166"/>
      <c r="H13" s="166"/>
      <c r="I13" s="267"/>
      <c r="J13" s="271" t="s">
        <v>286</v>
      </c>
      <c r="K13" s="43"/>
      <c r="L13" s="43"/>
      <c r="M13" s="43"/>
      <c r="N13" s="43"/>
      <c r="O13" s="609"/>
      <c r="P13" s="609"/>
      <c r="Q13" s="609"/>
      <c r="R13" s="609"/>
      <c r="S13" s="610"/>
      <c r="T13" s="610"/>
      <c r="U13" s="610"/>
      <c r="V13" s="605"/>
      <c r="W13" s="605"/>
      <c r="X13" s="356" t="s">
        <v>65</v>
      </c>
      <c r="Y13" s="27">
        <f>IF(B53="","",SUM(E56*SUM($V$17:$W$17)))</f>
      </c>
      <c r="Z13" s="298" t="s">
        <v>90</v>
      </c>
    </row>
    <row r="14" spans="1:28" ht="12.75" customHeight="1">
      <c r="A14" s="268" t="s">
        <v>98</v>
      </c>
      <c r="B14" s="166" t="s">
        <v>71</v>
      </c>
      <c r="C14" s="30" t="s">
        <v>98</v>
      </c>
      <c r="D14" s="166" t="s">
        <v>97</v>
      </c>
      <c r="E14" s="166"/>
      <c r="F14" s="43" t="s">
        <v>108</v>
      </c>
      <c r="G14" s="166"/>
      <c r="H14" s="166"/>
      <c r="I14" s="267"/>
      <c r="J14" s="271" t="s">
        <v>282</v>
      </c>
      <c r="K14" s="43"/>
      <c r="L14" s="43"/>
      <c r="M14" s="43"/>
      <c r="N14" s="43"/>
      <c r="O14" s="609"/>
      <c r="P14" s="609"/>
      <c r="Q14" s="609"/>
      <c r="R14" s="609"/>
      <c r="S14" s="610"/>
      <c r="T14" s="610"/>
      <c r="U14" s="610"/>
      <c r="V14" s="605"/>
      <c r="W14" s="605"/>
      <c r="X14" s="189" t="s">
        <v>111</v>
      </c>
      <c r="Y14" s="272">
        <f>IF(Y12="","",IF($F$29="","",IF(Y13="",SUM(Y12*$F$29),SUM(Y13*$F$29))))</f>
      </c>
      <c r="Z14" s="45">
        <f>SUM(Y13:Y14)</f>
        <v>0</v>
      </c>
      <c r="AB14" s="42"/>
    </row>
    <row r="15" spans="1:26" ht="12.75" customHeight="1">
      <c r="A15" s="352" t="str">
        <f>IF(A19="X","",IF(A18="X","",IF(A17="X","",IF(A16="X","","X"))))</f>
        <v>X</v>
      </c>
      <c r="B15" s="30" t="str">
        <f>IF($A$28="X","I §§ 11,12 HOAI",IF($A$29="X","I §§ 11,12 HOAI",IF(A$30="X","I §§ 13,14 HOAI","")))</f>
        <v>I §§ 11,12 HOAI</v>
      </c>
      <c r="C15" s="352" t="str">
        <f>IF(C19="X","",IF(C18="X","",IF(C17="X","",IF(C16="X","","X"))))</f>
        <v>X</v>
      </c>
      <c r="D15" s="272" t="s">
        <v>9</v>
      </c>
      <c r="E15" s="166"/>
      <c r="F15" s="360"/>
      <c r="G15" s="43" t="s">
        <v>94</v>
      </c>
      <c r="H15" s="166"/>
      <c r="I15" s="267"/>
      <c r="J15" s="271" t="s">
        <v>285</v>
      </c>
      <c r="K15" s="43"/>
      <c r="L15" s="43"/>
      <c r="M15" s="43"/>
      <c r="N15" s="43"/>
      <c r="O15" s="609"/>
      <c r="P15" s="609"/>
      <c r="Q15" s="609"/>
      <c r="R15" s="609"/>
      <c r="S15" s="610"/>
      <c r="T15" s="610"/>
      <c r="U15" s="610"/>
      <c r="V15" s="605"/>
      <c r="W15" s="605"/>
      <c r="X15" s="288" t="s">
        <v>52</v>
      </c>
      <c r="Y15" s="283">
        <f>IF($F$21="","",SUM(Y13:Y14)*$F$21)</f>
      </c>
      <c r="Z15" s="287">
        <f>IF($F$21="","",SUM(Z14,Y15))</f>
      </c>
    </row>
    <row r="16" spans="1:26" ht="13.5" thickBot="1">
      <c r="A16" s="362"/>
      <c r="B16" s="30" t="str">
        <f>IF($A$28="X","II §§ 11,12 HOAI",IF($A$29="X","II §§ 11,12 HOAI",IF(A$30="X","II §§ 13,14 HOAI","")))</f>
        <v>II §§ 11,12 HOAI</v>
      </c>
      <c r="C16" s="358"/>
      <c r="D16" s="272" t="s">
        <v>11</v>
      </c>
      <c r="E16" s="44"/>
      <c r="F16" s="43" t="s">
        <v>217</v>
      </c>
      <c r="G16" s="44"/>
      <c r="H16" s="43"/>
      <c r="I16" s="248"/>
      <c r="J16" s="271" t="s">
        <v>289</v>
      </c>
      <c r="K16" s="43"/>
      <c r="L16" s="43"/>
      <c r="M16" s="43"/>
      <c r="N16" s="524" t="s">
        <v>284</v>
      </c>
      <c r="O16" s="135">
        <f aca="true" t="shared" si="0" ref="O16:W16">IF(O18="","",IF($A$28="X",O2,IF($A$29="X",O3,IF($A$30="X",O4,""))))</f>
        <v>0.03</v>
      </c>
      <c r="P16" s="135">
        <f t="shared" si="0"/>
        <v>0.07</v>
      </c>
      <c r="Q16" s="135">
        <f t="shared" si="0"/>
        <v>0.11</v>
      </c>
      <c r="R16" s="135">
        <f t="shared" si="0"/>
        <v>0.06</v>
      </c>
      <c r="S16" s="135">
        <f t="shared" si="0"/>
        <v>0.25</v>
      </c>
      <c r="T16" s="135">
        <f t="shared" si="0"/>
        <v>0.1</v>
      </c>
      <c r="U16" s="135">
        <f t="shared" si="0"/>
        <v>0.04</v>
      </c>
      <c r="V16" s="135">
        <f t="shared" si="0"/>
        <v>0.31</v>
      </c>
      <c r="W16" s="135">
        <f t="shared" si="0"/>
        <v>0.03</v>
      </c>
      <c r="X16" s="289"/>
      <c r="Y16" s="290" t="s">
        <v>56</v>
      </c>
      <c r="Z16" s="291" t="e">
        <f>IF(F21="",SUM(Z6,Z10,Z14),SUM(Z7,Z11,Z15))</f>
        <v>#VALUE!</v>
      </c>
    </row>
    <row r="17" spans="1:26" ht="13.5" thickTop="1">
      <c r="A17" s="362"/>
      <c r="B17" s="30" t="str">
        <f>IF($A$28="X","III §§ 11,12 HOAI",IF($A$29="X","III §§ 11,12 HOAI",IF(A$30="X","III §§ 13,14 HOAI","")))</f>
        <v>III §§ 11,12 HOAI</v>
      </c>
      <c r="C17" s="358"/>
      <c r="D17" s="272" t="s">
        <v>13</v>
      </c>
      <c r="E17" s="44"/>
      <c r="F17" s="43" t="s">
        <v>218</v>
      </c>
      <c r="G17" s="44"/>
      <c r="H17" s="166"/>
      <c r="I17" s="267"/>
      <c r="J17" s="43"/>
      <c r="K17" s="43"/>
      <c r="L17" s="43"/>
      <c r="M17" s="43"/>
      <c r="N17" s="524" t="s">
        <v>283</v>
      </c>
      <c r="O17" s="395">
        <f aca="true" t="shared" si="1" ref="O17:W17">IF(O18="","",SUM(O16*O18))</f>
        <v>0.03</v>
      </c>
      <c r="P17" s="395">
        <f t="shared" si="1"/>
        <v>0.07</v>
      </c>
      <c r="Q17" s="395">
        <f t="shared" si="1"/>
        <v>0.11</v>
      </c>
      <c r="R17" s="395">
        <f t="shared" si="1"/>
        <v>0.06</v>
      </c>
      <c r="S17" s="395">
        <f t="shared" si="1"/>
        <v>0.25</v>
      </c>
      <c r="T17" s="395">
        <f t="shared" si="1"/>
        <v>0.1</v>
      </c>
      <c r="U17" s="395">
        <f t="shared" si="1"/>
        <v>0.04</v>
      </c>
      <c r="V17" s="395">
        <f t="shared" si="1"/>
        <v>0.31</v>
      </c>
      <c r="W17" s="368">
        <f t="shared" si="1"/>
        <v>0.03</v>
      </c>
      <c r="X17" s="289"/>
      <c r="Y17" s="290"/>
      <c r="Z17" s="286"/>
    </row>
    <row r="18" spans="1:26" ht="12.75">
      <c r="A18" s="362"/>
      <c r="B18" s="30" t="str">
        <f>IF($A$28="X","IV §§ 11,12 HOAI",IF($A$29="X","IV §§ 11,12 HOAI",IF(A$30="X","IV §§ 13,14 HOAI","")))</f>
        <v>IV §§ 11,12 HOAI</v>
      </c>
      <c r="C18" s="358"/>
      <c r="D18" s="272" t="s">
        <v>15</v>
      </c>
      <c r="E18" s="166"/>
      <c r="F18" s="166"/>
      <c r="G18" s="166"/>
      <c r="H18" s="166"/>
      <c r="I18" s="267"/>
      <c r="J18" s="166"/>
      <c r="K18" s="166"/>
      <c r="L18" s="30" t="s">
        <v>50</v>
      </c>
      <c r="M18" s="30"/>
      <c r="N18" s="30" t="s">
        <v>168</v>
      </c>
      <c r="O18" s="355">
        <v>1</v>
      </c>
      <c r="P18" s="355">
        <v>1</v>
      </c>
      <c r="Q18" s="355">
        <v>1</v>
      </c>
      <c r="R18" s="355">
        <v>1</v>
      </c>
      <c r="S18" s="355">
        <v>1</v>
      </c>
      <c r="T18" s="355">
        <v>1</v>
      </c>
      <c r="U18" s="355">
        <v>1</v>
      </c>
      <c r="V18" s="355">
        <v>1</v>
      </c>
      <c r="W18" s="355">
        <v>1</v>
      </c>
      <c r="X18" s="173" t="s">
        <v>87</v>
      </c>
      <c r="Y18" s="173" t="s">
        <v>102</v>
      </c>
      <c r="Z18" s="292"/>
    </row>
    <row r="19" spans="1:26" ht="12.75">
      <c r="A19" s="362"/>
      <c r="B19" s="30" t="str">
        <f>IF($A$28="X","V §§ 11,12 HOAI",IF($A$29="X","V §§ 11,12 HOAI",IF(A$30="X","V §§ 13,14 HOAI","")))</f>
        <v>V §§ 11,12 HOAI</v>
      </c>
      <c r="C19" s="358"/>
      <c r="D19" s="43" t="s">
        <v>17</v>
      </c>
      <c r="E19" s="44" t="s">
        <v>32</v>
      </c>
      <c r="F19" s="360">
        <v>0.15</v>
      </c>
      <c r="G19" s="166"/>
      <c r="H19" s="166"/>
      <c r="I19" s="267"/>
      <c r="J19" s="603" t="s">
        <v>32</v>
      </c>
      <c r="K19" s="604"/>
      <c r="L19" s="30" t="s">
        <v>69</v>
      </c>
      <c r="M19" s="30"/>
      <c r="N19" s="30" t="s">
        <v>51</v>
      </c>
      <c r="O19" s="293" t="s">
        <v>222</v>
      </c>
      <c r="P19" s="294"/>
      <c r="Q19" s="294"/>
      <c r="R19" s="295"/>
      <c r="S19" s="294"/>
      <c r="T19" s="294"/>
      <c r="U19" s="294"/>
      <c r="V19" s="294"/>
      <c r="W19" s="304"/>
      <c r="X19" s="30" t="s">
        <v>107</v>
      </c>
      <c r="Y19" s="30" t="s">
        <v>52</v>
      </c>
      <c r="Z19" s="248" t="s">
        <v>56</v>
      </c>
    </row>
    <row r="20" spans="1:26" ht="12.75" customHeight="1">
      <c r="A20" s="269"/>
      <c r="B20" s="166"/>
      <c r="C20" s="43" t="s">
        <v>235</v>
      </c>
      <c r="D20" s="43"/>
      <c r="E20" s="44" t="s">
        <v>62</v>
      </c>
      <c r="F20" s="360">
        <v>0.16</v>
      </c>
      <c r="G20" s="30" t="s">
        <v>128</v>
      </c>
      <c r="H20" s="361">
        <v>35886</v>
      </c>
      <c r="I20" s="267"/>
      <c r="J20" s="302">
        <f>IF(N20="","",IF(K20="",$F$19,""))</f>
      </c>
      <c r="K20" s="303">
        <f>IF(N20="","",IF($H$20="","",IF($H$20&lt;=N20,$F$20,"")))</f>
        <v>0.16</v>
      </c>
      <c r="L20" s="134">
        <f>IF(N20="","",1)</f>
        <v>1</v>
      </c>
      <c r="M20" s="519">
        <f aca="true" t="shared" si="2" ref="M20:M39">IF(L20="","",IF(K20=K19,"",IF(K20=$F$20,N20)))</f>
        <v>35920</v>
      </c>
      <c r="N20" s="354">
        <v>35920</v>
      </c>
      <c r="O20" s="355">
        <v>0.2</v>
      </c>
      <c r="P20" s="355">
        <v>0.2</v>
      </c>
      <c r="Q20" s="355">
        <v>0.2</v>
      </c>
      <c r="R20" s="355">
        <v>0.2</v>
      </c>
      <c r="S20" s="355"/>
      <c r="T20" s="355"/>
      <c r="U20" s="355"/>
      <c r="V20" s="355"/>
      <c r="W20" s="602" t="s">
        <v>127</v>
      </c>
      <c r="X20" s="272">
        <f>'LPH 8-9'!Y11</f>
        <v>0</v>
      </c>
      <c r="Y20" s="272">
        <f aca="true" t="shared" si="3" ref="Y20:Y39">IF($F$21="","",SUM(X20*$F$21))</f>
      </c>
      <c r="Z20" s="45">
        <f aca="true" t="shared" si="4" ref="Z20:Z39">SUM(X20:Y20)</f>
        <v>0</v>
      </c>
    </row>
    <row r="21" spans="1:26" ht="12.75">
      <c r="A21" s="352" t="str">
        <f>IF(A22="X","","X")</f>
        <v>X</v>
      </c>
      <c r="B21" s="340" t="s">
        <v>18</v>
      </c>
      <c r="C21" s="589" t="s">
        <v>130</v>
      </c>
      <c r="D21" s="166"/>
      <c r="E21" s="44" t="s">
        <v>318</v>
      </c>
      <c r="F21" s="360"/>
      <c r="G21" s="43" t="s">
        <v>150</v>
      </c>
      <c r="H21" s="166"/>
      <c r="I21" s="267"/>
      <c r="J21" s="302">
        <f aca="true" t="shared" si="5" ref="J21:J39">IF(N21="","",IF(K21="",$F$19,""))</f>
      </c>
      <c r="K21" s="303">
        <f aca="true" t="shared" si="6" ref="K21:K39">IF(N21="","",IF($H$20="","",IF($H$20&lt;=N21,$F$20,"")))</f>
        <v>0.16</v>
      </c>
      <c r="L21" s="134">
        <f>IF(N21="","",L20+1)</f>
        <v>2</v>
      </c>
      <c r="M21" s="519">
        <f t="shared" si="2"/>
      </c>
      <c r="N21" s="354">
        <v>35921</v>
      </c>
      <c r="O21" s="355">
        <v>0.3</v>
      </c>
      <c r="P21" s="355">
        <v>0.3</v>
      </c>
      <c r="Q21" s="355">
        <v>0.3</v>
      </c>
      <c r="R21" s="355">
        <v>0.3</v>
      </c>
      <c r="S21" s="355"/>
      <c r="T21" s="355"/>
      <c r="U21" s="355"/>
      <c r="V21" s="355"/>
      <c r="W21" s="602"/>
      <c r="X21" s="272">
        <f>'LPH 8-9'!Y12</f>
        <v>0</v>
      </c>
      <c r="Y21" s="272">
        <f t="shared" si="3"/>
      </c>
      <c r="Z21" s="45">
        <f t="shared" si="4"/>
        <v>0</v>
      </c>
    </row>
    <row r="22" spans="1:26" ht="12.75">
      <c r="A22" s="362"/>
      <c r="B22" s="340" t="s">
        <v>257</v>
      </c>
      <c r="C22" s="589" t="s">
        <v>236</v>
      </c>
      <c r="D22" s="273" t="s">
        <v>291</v>
      </c>
      <c r="E22" s="166"/>
      <c r="F22" s="166"/>
      <c r="G22" s="273" t="s">
        <v>151</v>
      </c>
      <c r="H22" s="166"/>
      <c r="I22" s="267"/>
      <c r="J22" s="302">
        <f t="shared" si="5"/>
      </c>
      <c r="K22" s="303">
        <f t="shared" si="6"/>
      </c>
      <c r="L22" s="134">
        <f aca="true" t="shared" si="7" ref="L22:L39">IF(N22="","",L21+1)</f>
      </c>
      <c r="M22" s="519">
        <f t="shared" si="2"/>
      </c>
      <c r="N22" s="354"/>
      <c r="O22" s="355"/>
      <c r="P22" s="355"/>
      <c r="Q22" s="355"/>
      <c r="R22" s="355"/>
      <c r="S22" s="355"/>
      <c r="T22" s="355"/>
      <c r="U22" s="355"/>
      <c r="V22" s="355"/>
      <c r="W22" s="602"/>
      <c r="X22" s="272">
        <f>'LPH 8-9'!Y13</f>
        <v>0</v>
      </c>
      <c r="Y22" s="272">
        <f t="shared" si="3"/>
      </c>
      <c r="Z22" s="45">
        <f t="shared" si="4"/>
        <v>0</v>
      </c>
    </row>
    <row r="23" spans="1:26" ht="12.75">
      <c r="A23" s="274"/>
      <c r="B23" s="533">
        <v>1.95583</v>
      </c>
      <c r="C23" s="419" t="s">
        <v>239</v>
      </c>
      <c r="D23" s="30"/>
      <c r="E23" s="166"/>
      <c r="F23" s="166"/>
      <c r="G23" s="43" t="s">
        <v>152</v>
      </c>
      <c r="H23" s="166"/>
      <c r="I23" s="267"/>
      <c r="J23" s="302">
        <f t="shared" si="5"/>
      </c>
      <c r="K23" s="303">
        <f t="shared" si="6"/>
      </c>
      <c r="L23" s="134">
        <f t="shared" si="7"/>
      </c>
      <c r="M23" s="519">
        <f t="shared" si="2"/>
      </c>
      <c r="N23" s="354"/>
      <c r="O23" s="355"/>
      <c r="P23" s="355"/>
      <c r="Q23" s="355"/>
      <c r="R23" s="355"/>
      <c r="S23" s="355"/>
      <c r="T23" s="355"/>
      <c r="U23" s="355"/>
      <c r="V23" s="355"/>
      <c r="W23" s="602"/>
      <c r="X23" s="272">
        <f>'LPH 8-9'!Y14</f>
        <v>0</v>
      </c>
      <c r="Y23" s="272">
        <f t="shared" si="3"/>
      </c>
      <c r="Z23" s="45">
        <f t="shared" si="4"/>
        <v>0</v>
      </c>
    </row>
    <row r="24" spans="1:26" ht="12.75">
      <c r="A24" s="530" t="s">
        <v>292</v>
      </c>
      <c r="B24" s="472"/>
      <c r="C24" s="472"/>
      <c r="D24" s="472"/>
      <c r="E24" s="472"/>
      <c r="F24" s="472"/>
      <c r="G24" s="43" t="s">
        <v>139</v>
      </c>
      <c r="H24" s="166"/>
      <c r="I24" s="267"/>
      <c r="J24" s="302">
        <f t="shared" si="5"/>
      </c>
      <c r="K24" s="303">
        <f t="shared" si="6"/>
      </c>
      <c r="L24" s="134">
        <f t="shared" si="7"/>
      </c>
      <c r="M24" s="519">
        <f t="shared" si="2"/>
      </c>
      <c r="N24" s="354"/>
      <c r="O24" s="355"/>
      <c r="P24" s="355"/>
      <c r="Q24" s="355"/>
      <c r="R24" s="355"/>
      <c r="S24" s="355"/>
      <c r="T24" s="355"/>
      <c r="U24" s="355"/>
      <c r="V24" s="355"/>
      <c r="W24" s="602"/>
      <c r="X24" s="272">
        <f>'LPH 8-9'!Y15</f>
        <v>0</v>
      </c>
      <c r="Y24" s="272">
        <f t="shared" si="3"/>
      </c>
      <c r="Z24" s="45">
        <f t="shared" si="4"/>
        <v>0</v>
      </c>
    </row>
    <row r="25" spans="1:26" ht="12.75">
      <c r="A25" s="269"/>
      <c r="B25" s="534" t="s">
        <v>305</v>
      </c>
      <c r="C25" s="472"/>
      <c r="D25" s="472"/>
      <c r="E25" s="472"/>
      <c r="F25" s="472"/>
      <c r="G25" s="43"/>
      <c r="H25" s="532"/>
      <c r="I25" s="267"/>
      <c r="J25" s="302">
        <f t="shared" si="5"/>
      </c>
      <c r="K25" s="303">
        <f t="shared" si="6"/>
      </c>
      <c r="L25" s="134">
        <f t="shared" si="7"/>
      </c>
      <c r="M25" s="519">
        <f t="shared" si="2"/>
      </c>
      <c r="N25" s="354"/>
      <c r="O25" s="355"/>
      <c r="P25" s="355"/>
      <c r="Q25" s="355"/>
      <c r="R25" s="355"/>
      <c r="S25" s="355"/>
      <c r="T25" s="355"/>
      <c r="U25" s="355"/>
      <c r="V25" s="355"/>
      <c r="W25" s="602"/>
      <c r="X25" s="272">
        <f>'LPH 8-9'!Y16</f>
        <v>0</v>
      </c>
      <c r="Y25" s="272">
        <f t="shared" si="3"/>
      </c>
      <c r="Z25" s="45">
        <f t="shared" si="4"/>
        <v>0</v>
      </c>
    </row>
    <row r="26" spans="1:26" ht="12.75">
      <c r="A26" s="531"/>
      <c r="B26" s="534" t="s">
        <v>306</v>
      </c>
      <c r="C26" s="472"/>
      <c r="D26" s="472"/>
      <c r="E26" s="472"/>
      <c r="F26" s="472"/>
      <c r="G26" s="43"/>
      <c r="H26" s="532"/>
      <c r="I26" s="267"/>
      <c r="J26" s="302">
        <f t="shared" si="5"/>
      </c>
      <c r="K26" s="303">
        <f t="shared" si="6"/>
      </c>
      <c r="L26" s="134">
        <f t="shared" si="7"/>
      </c>
      <c r="M26" s="519">
        <f t="shared" si="2"/>
      </c>
      <c r="N26" s="354"/>
      <c r="O26" s="355"/>
      <c r="P26" s="355"/>
      <c r="Q26" s="355"/>
      <c r="R26" s="355"/>
      <c r="S26" s="355"/>
      <c r="T26" s="355"/>
      <c r="U26" s="355"/>
      <c r="V26" s="355"/>
      <c r="W26" s="602"/>
      <c r="X26" s="272">
        <f>'LPH 8-9'!Y17</f>
        <v>0</v>
      </c>
      <c r="Y26" s="272">
        <f t="shared" si="3"/>
      </c>
      <c r="Z26" s="45">
        <f t="shared" si="4"/>
        <v>0</v>
      </c>
    </row>
    <row r="27" spans="1:26" ht="12.75">
      <c r="A27" s="473" t="s">
        <v>125</v>
      </c>
      <c r="B27" s="43"/>
      <c r="C27" s="166"/>
      <c r="D27" s="166"/>
      <c r="E27" s="43"/>
      <c r="F27" s="166"/>
      <c r="G27" s="166"/>
      <c r="H27" s="166"/>
      <c r="I27" s="267"/>
      <c r="J27" s="302">
        <f t="shared" si="5"/>
      </c>
      <c r="K27" s="303">
        <f t="shared" si="6"/>
      </c>
      <c r="L27" s="134">
        <f t="shared" si="7"/>
      </c>
      <c r="M27" s="519">
        <f t="shared" si="2"/>
      </c>
      <c r="N27" s="354"/>
      <c r="O27" s="355"/>
      <c r="P27" s="355"/>
      <c r="Q27" s="355"/>
      <c r="R27" s="355"/>
      <c r="S27" s="355"/>
      <c r="T27" s="355"/>
      <c r="U27" s="355"/>
      <c r="V27" s="355"/>
      <c r="W27" s="602"/>
      <c r="X27" s="272">
        <f>'LPH 8-9'!Y18</f>
        <v>0</v>
      </c>
      <c r="Y27" s="272">
        <f t="shared" si="3"/>
      </c>
      <c r="Z27" s="45">
        <f t="shared" si="4"/>
        <v>0</v>
      </c>
    </row>
    <row r="28" spans="1:26" ht="12.75">
      <c r="A28" s="352" t="str">
        <f>IF(A29="X","",IF(A30="X","","X"))</f>
        <v>X</v>
      </c>
      <c r="B28" s="9" t="s">
        <v>20</v>
      </c>
      <c r="C28" s="439"/>
      <c r="D28" s="436" t="s">
        <v>47</v>
      </c>
      <c r="E28" s="43"/>
      <c r="F28" s="191" t="s">
        <v>100</v>
      </c>
      <c r="G28" s="190" t="s">
        <v>113</v>
      </c>
      <c r="H28" s="190"/>
      <c r="I28" s="505"/>
      <c r="J28" s="302">
        <f t="shared" si="5"/>
      </c>
      <c r="K28" s="303">
        <f t="shared" si="6"/>
      </c>
      <c r="L28" s="134">
        <f t="shared" si="7"/>
      </c>
      <c r="M28" s="519">
        <f t="shared" si="2"/>
      </c>
      <c r="N28" s="354"/>
      <c r="O28" s="355"/>
      <c r="P28" s="355"/>
      <c r="Q28" s="355"/>
      <c r="R28" s="355"/>
      <c r="S28" s="355"/>
      <c r="T28" s="355"/>
      <c r="U28" s="355"/>
      <c r="V28" s="355"/>
      <c r="W28" s="602"/>
      <c r="X28" s="272">
        <f>'LPH 8-9'!Y19</f>
        <v>0</v>
      </c>
      <c r="Y28" s="272">
        <f t="shared" si="3"/>
      </c>
      <c r="Z28" s="45">
        <f t="shared" si="4"/>
        <v>0</v>
      </c>
    </row>
    <row r="29" spans="1:26" ht="12.75">
      <c r="A29" s="435"/>
      <c r="B29" s="13" t="s">
        <v>21</v>
      </c>
      <c r="C29" s="440"/>
      <c r="D29" s="437" t="s">
        <v>47</v>
      </c>
      <c r="E29" s="43"/>
      <c r="F29" s="360">
        <v>0.2</v>
      </c>
      <c r="G29" s="613" t="s">
        <v>320</v>
      </c>
      <c r="H29" s="614"/>
      <c r="I29" s="614"/>
      <c r="J29" s="302">
        <f t="shared" si="5"/>
      </c>
      <c r="K29" s="303">
        <f t="shared" si="6"/>
      </c>
      <c r="L29" s="134">
        <f t="shared" si="7"/>
      </c>
      <c r="M29" s="519">
        <f t="shared" si="2"/>
      </c>
      <c r="N29" s="354"/>
      <c r="O29" s="355"/>
      <c r="P29" s="355"/>
      <c r="Q29" s="355"/>
      <c r="R29" s="355"/>
      <c r="S29" s="355"/>
      <c r="T29" s="355"/>
      <c r="U29" s="355"/>
      <c r="V29" s="355"/>
      <c r="W29" s="602"/>
      <c r="X29" s="272">
        <f>'LPH 8-9'!Y20</f>
        <v>0</v>
      </c>
      <c r="Y29" s="272">
        <f t="shared" si="3"/>
      </c>
      <c r="Z29" s="45">
        <f t="shared" si="4"/>
        <v>0</v>
      </c>
    </row>
    <row r="30" spans="1:26" ht="12.75">
      <c r="A30" s="435"/>
      <c r="B30" s="15" t="s">
        <v>22</v>
      </c>
      <c r="C30" s="441"/>
      <c r="D30" s="438" t="s">
        <v>48</v>
      </c>
      <c r="E30" s="44"/>
      <c r="F30" s="30"/>
      <c r="G30" s="43" t="s">
        <v>265</v>
      </c>
      <c r="H30" s="30"/>
      <c r="I30" s="30"/>
      <c r="J30" s="302">
        <f t="shared" si="5"/>
      </c>
      <c r="K30" s="303">
        <f t="shared" si="6"/>
      </c>
      <c r="L30" s="134">
        <f t="shared" si="7"/>
      </c>
      <c r="M30" s="519">
        <f t="shared" si="2"/>
      </c>
      <c r="N30" s="354"/>
      <c r="O30" s="355"/>
      <c r="P30" s="355"/>
      <c r="Q30" s="355"/>
      <c r="R30" s="355"/>
      <c r="S30" s="355"/>
      <c r="T30" s="355"/>
      <c r="U30" s="355"/>
      <c r="V30" s="355"/>
      <c r="W30" s="602"/>
      <c r="X30" s="272">
        <f>'LPH 8-9'!Y21</f>
        <v>0</v>
      </c>
      <c r="Y30" s="272">
        <f t="shared" si="3"/>
      </c>
      <c r="Z30" s="45">
        <f t="shared" si="4"/>
        <v>0</v>
      </c>
    </row>
    <row r="31" spans="1:26" ht="12.75">
      <c r="A31" s="270" t="s">
        <v>123</v>
      </c>
      <c r="B31" s="43"/>
      <c r="C31" s="43"/>
      <c r="D31" s="43"/>
      <c r="E31" s="43"/>
      <c r="F31" s="43"/>
      <c r="G31" s="166"/>
      <c r="H31" s="166"/>
      <c r="I31" s="267"/>
      <c r="J31" s="302">
        <f t="shared" si="5"/>
      </c>
      <c r="K31" s="303">
        <f t="shared" si="6"/>
      </c>
      <c r="L31" s="134">
        <f t="shared" si="7"/>
      </c>
      <c r="M31" s="519">
        <f t="shared" si="2"/>
      </c>
      <c r="N31" s="354"/>
      <c r="O31" s="355"/>
      <c r="P31" s="355"/>
      <c r="Q31" s="355"/>
      <c r="R31" s="355"/>
      <c r="S31" s="355"/>
      <c r="T31" s="355"/>
      <c r="U31" s="355"/>
      <c r="V31" s="355"/>
      <c r="W31" s="602"/>
      <c r="X31" s="272">
        <f>'LPH 8-9'!Y22</f>
        <v>0</v>
      </c>
      <c r="Y31" s="272">
        <f t="shared" si="3"/>
      </c>
      <c r="Z31" s="45">
        <f t="shared" si="4"/>
        <v>0</v>
      </c>
    </row>
    <row r="32" spans="1:26" ht="14.25">
      <c r="A32" s="270" t="s">
        <v>110</v>
      </c>
      <c r="B32" s="166"/>
      <c r="C32" s="166"/>
      <c r="D32" s="166"/>
      <c r="E32" s="43"/>
      <c r="F32" s="43"/>
      <c r="G32" s="166"/>
      <c r="H32" s="558" t="s">
        <v>300</v>
      </c>
      <c r="I32" s="560" t="s">
        <v>299</v>
      </c>
      <c r="J32" s="302">
        <f t="shared" si="5"/>
      </c>
      <c r="K32" s="303">
        <f t="shared" si="6"/>
      </c>
      <c r="L32" s="134">
        <f t="shared" si="7"/>
      </c>
      <c r="M32" s="519">
        <f t="shared" si="2"/>
      </c>
      <c r="N32" s="354"/>
      <c r="O32" s="355"/>
      <c r="P32" s="355"/>
      <c r="Q32" s="355"/>
      <c r="R32" s="355"/>
      <c r="S32" s="355"/>
      <c r="T32" s="355"/>
      <c r="U32" s="355"/>
      <c r="V32" s="355"/>
      <c r="W32" s="602"/>
      <c r="X32" s="272">
        <f>'LPH 8-9'!Y23</f>
        <v>0</v>
      </c>
      <c r="Y32" s="272">
        <f t="shared" si="3"/>
      </c>
      <c r="Z32" s="45">
        <f t="shared" si="4"/>
        <v>0</v>
      </c>
    </row>
    <row r="33" spans="1:26" ht="12.75">
      <c r="A33" s="542" t="s">
        <v>68</v>
      </c>
      <c r="B33" s="540" t="s">
        <v>73</v>
      </c>
      <c r="C33" s="541"/>
      <c r="D33" s="363"/>
      <c r="E33" s="568" t="str">
        <f>IF($A$21="X","€ / Gebäude",IF($A$22="X","DM / Gebäude",""))</f>
        <v>€ / Gebäude</v>
      </c>
      <c r="F33" s="569" t="s">
        <v>298</v>
      </c>
      <c r="G33" s="541"/>
      <c r="H33" s="558" t="s">
        <v>221</v>
      </c>
      <c r="I33" s="537"/>
      <c r="J33" s="302">
        <f t="shared" si="5"/>
      </c>
      <c r="K33" s="303">
        <f t="shared" si="6"/>
      </c>
      <c r="L33" s="134">
        <f t="shared" si="7"/>
      </c>
      <c r="M33" s="519">
        <f t="shared" si="2"/>
      </c>
      <c r="N33" s="354"/>
      <c r="O33" s="355"/>
      <c r="P33" s="355"/>
      <c r="Q33" s="355"/>
      <c r="R33" s="355"/>
      <c r="S33" s="355"/>
      <c r="T33" s="355"/>
      <c r="U33" s="355"/>
      <c r="V33" s="355"/>
      <c r="W33" s="602"/>
      <c r="X33" s="272">
        <f>'LPH 8-9'!Y24</f>
        <v>0</v>
      </c>
      <c r="Y33" s="272">
        <f t="shared" si="3"/>
      </c>
      <c r="Z33" s="45">
        <f t="shared" si="4"/>
        <v>0</v>
      </c>
    </row>
    <row r="34" spans="1:26" ht="14.25">
      <c r="A34" s="270" t="s">
        <v>105</v>
      </c>
      <c r="B34" s="354"/>
      <c r="C34" s="276" t="s">
        <v>95</v>
      </c>
      <c r="D34" s="522" t="s">
        <v>93</v>
      </c>
      <c r="E34" s="30"/>
      <c r="F34" s="166"/>
      <c r="G34" s="30" t="str">
        <f>IF($A$21="X","€ / Gebäude",IF($A$22="X","DM / Gebäude",""))</f>
        <v>€ / Gebäude</v>
      </c>
      <c r="H34" s="561" t="s">
        <v>299</v>
      </c>
      <c r="I34" s="138">
        <f>IF(I33="","",I33)</f>
      </c>
      <c r="J34" s="302">
        <f t="shared" si="5"/>
      </c>
      <c r="K34" s="303">
        <f t="shared" si="6"/>
      </c>
      <c r="L34" s="134">
        <f t="shared" si="7"/>
      </c>
      <c r="M34" s="519">
        <f t="shared" si="2"/>
      </c>
      <c r="N34" s="354"/>
      <c r="O34" s="355"/>
      <c r="P34" s="355"/>
      <c r="Q34" s="355"/>
      <c r="R34" s="355"/>
      <c r="S34" s="355"/>
      <c r="T34" s="355"/>
      <c r="U34" s="355"/>
      <c r="V34" s="355"/>
      <c r="W34" s="602"/>
      <c r="X34" s="272">
        <f>'LPH 8-9'!Y25</f>
        <v>0</v>
      </c>
      <c r="Y34" s="272">
        <f t="shared" si="3"/>
      </c>
      <c r="Z34" s="45">
        <f t="shared" si="4"/>
        <v>0</v>
      </c>
    </row>
    <row r="35" spans="1:26" ht="12.75">
      <c r="A35" s="268"/>
      <c r="B35" s="521">
        <f>IF(D33="","",IF(D33&gt;=250001,"",D33))</f>
      </c>
      <c r="C35" s="520" t="s">
        <v>109</v>
      </c>
      <c r="D35" s="363"/>
      <c r="E35" s="275">
        <f>IF($I$25="",D35,SUM(D35))</f>
        <v>0</v>
      </c>
      <c r="F35" s="30" t="s">
        <v>112</v>
      </c>
      <c r="G35" s="272">
        <f>IF(B35="","",SUM(E38))</f>
      </c>
      <c r="H35" s="573" t="s">
        <v>313</v>
      </c>
      <c r="I35" s="559" t="s">
        <v>296</v>
      </c>
      <c r="J35" s="302">
        <f t="shared" si="5"/>
      </c>
      <c r="K35" s="303">
        <f t="shared" si="6"/>
      </c>
      <c r="L35" s="134">
        <f t="shared" si="7"/>
      </c>
      <c r="M35" s="519">
        <f t="shared" si="2"/>
      </c>
      <c r="N35" s="354"/>
      <c r="O35" s="355"/>
      <c r="P35" s="355"/>
      <c r="Q35" s="355"/>
      <c r="R35" s="355"/>
      <c r="S35" s="355"/>
      <c r="T35" s="355"/>
      <c r="U35" s="355"/>
      <c r="V35" s="355"/>
      <c r="W35" s="602"/>
      <c r="X35" s="272">
        <f>'LPH 8-9'!Y26</f>
        <v>0</v>
      </c>
      <c r="Y35" s="272">
        <f t="shared" si="3"/>
      </c>
      <c r="Z35" s="45">
        <f t="shared" si="4"/>
        <v>0</v>
      </c>
    </row>
    <row r="36" spans="1:26" ht="12.75">
      <c r="A36" s="268"/>
      <c r="B36" s="521">
        <f>IF(B35="","",IF(SUM(E35/B35)&gt;=C36,SUM(B35-E35),""))</f>
      </c>
      <c r="C36" s="324">
        <v>0.25</v>
      </c>
      <c r="D36" s="275">
        <f>IF(B35="","",IF(SUM(E35/B35)&gt;=C36,SUM(B35-E35)*C36,""))</f>
      </c>
      <c r="E36" s="275">
        <f>IF(B35="","",IF(SUM(E35/B35)&gt;=C36,SUM(E35-D36),""))</f>
      </c>
      <c r="F36" s="191" t="s">
        <v>114</v>
      </c>
      <c r="G36" s="272">
        <f>IF($G35="","",IF($F$29="","",SUM(G35*$F$29)))</f>
      </c>
      <c r="H36" s="329">
        <f>IF(B35="","",SUM(G35*I36))</f>
      </c>
      <c r="I36" s="551">
        <f>IF(I34="",1,IF(I34&gt;=5,SUM((I34-5)*0.4)+SUM((5-1)*0.5)+SUM(1*1),IF(I34&lt;=5,SUM((I34-1)*0.5)+SUM(1*1))))</f>
        <v>1</v>
      </c>
      <c r="J36" s="302">
        <f t="shared" si="5"/>
      </c>
      <c r="K36" s="303">
        <f t="shared" si="6"/>
      </c>
      <c r="L36" s="134">
        <f t="shared" si="7"/>
      </c>
      <c r="M36" s="519">
        <f t="shared" si="2"/>
      </c>
      <c r="N36" s="354"/>
      <c r="O36" s="355"/>
      <c r="P36" s="355"/>
      <c r="Q36" s="355"/>
      <c r="R36" s="355"/>
      <c r="S36" s="355"/>
      <c r="T36" s="355"/>
      <c r="U36" s="355"/>
      <c r="V36" s="355"/>
      <c r="W36" s="602"/>
      <c r="X36" s="272">
        <f>'LPH 8-9'!Y27</f>
        <v>0</v>
      </c>
      <c r="Y36" s="272">
        <f t="shared" si="3"/>
      </c>
      <c r="Z36" s="45">
        <f t="shared" si="4"/>
        <v>0</v>
      </c>
    </row>
    <row r="37" spans="1:26" ht="13.5" thickBot="1">
      <c r="A37" s="270"/>
      <c r="B37" s="155">
        <v>1</v>
      </c>
      <c r="C37" s="43"/>
      <c r="D37" s="155">
        <v>1</v>
      </c>
      <c r="E37" s="155">
        <v>0.5</v>
      </c>
      <c r="F37" s="30" t="s">
        <v>106</v>
      </c>
      <c r="G37" s="278">
        <f>SUM(G35:G36)</f>
        <v>0</v>
      </c>
      <c r="H37" s="41" t="s">
        <v>302</v>
      </c>
      <c r="I37" s="267"/>
      <c r="J37" s="302">
        <f t="shared" si="5"/>
      </c>
      <c r="K37" s="303">
        <f t="shared" si="6"/>
      </c>
      <c r="L37" s="134">
        <f t="shared" si="7"/>
      </c>
      <c r="M37" s="519">
        <f t="shared" si="2"/>
      </c>
      <c r="N37" s="354"/>
      <c r="O37" s="355"/>
      <c r="P37" s="355"/>
      <c r="Q37" s="355"/>
      <c r="R37" s="355"/>
      <c r="S37" s="355"/>
      <c r="T37" s="355"/>
      <c r="U37" s="355"/>
      <c r="V37" s="355"/>
      <c r="W37" s="602"/>
      <c r="X37" s="272">
        <f>'LPH 8-9'!Y28</f>
        <v>0</v>
      </c>
      <c r="Y37" s="272">
        <f t="shared" si="3"/>
      </c>
      <c r="Z37" s="45">
        <f t="shared" si="4"/>
        <v>0</v>
      </c>
    </row>
    <row r="38" spans="1:26" ht="14.25" customHeight="1" thickBot="1" thickTop="1">
      <c r="A38" s="270"/>
      <c r="B38" s="521">
        <f>IF(B36="",B35,SUM(B36*B37)+(D36*D37)+(E36*E37))</f>
      </c>
      <c r="C38" s="272"/>
      <c r="D38" s="272" t="s">
        <v>281</v>
      </c>
      <c r="E38" s="272">
        <f>Honorar!E4</f>
      </c>
      <c r="F38" s="369">
        <f>SUM(O17:R17)</f>
        <v>0.27</v>
      </c>
      <c r="G38" s="36">
        <f>IF(B35="","",SUM(G37*F38))</f>
      </c>
      <c r="H38" s="573" t="s">
        <v>314</v>
      </c>
      <c r="I38" s="560" t="s">
        <v>299</v>
      </c>
      <c r="J38" s="302">
        <f t="shared" si="5"/>
      </c>
      <c r="K38" s="303">
        <f t="shared" si="6"/>
      </c>
      <c r="L38" s="134">
        <f t="shared" si="7"/>
      </c>
      <c r="M38" s="519">
        <f t="shared" si="2"/>
      </c>
      <c r="N38" s="354"/>
      <c r="O38" s="355"/>
      <c r="P38" s="355"/>
      <c r="Q38" s="355"/>
      <c r="R38" s="355"/>
      <c r="S38" s="355"/>
      <c r="T38" s="355"/>
      <c r="U38" s="355"/>
      <c r="V38" s="355"/>
      <c r="W38" s="602"/>
      <c r="X38" s="272">
        <f>'LPH 8-9'!Y29</f>
        <v>0</v>
      </c>
      <c r="Y38" s="272">
        <f t="shared" si="3"/>
      </c>
      <c r="Z38" s="45">
        <f t="shared" si="4"/>
        <v>0</v>
      </c>
    </row>
    <row r="39" spans="1:26" ht="13.5" thickBot="1">
      <c r="A39" s="548" t="s">
        <v>6</v>
      </c>
      <c r="B39" s="538" t="s">
        <v>74</v>
      </c>
      <c r="C39" s="539"/>
      <c r="D39" s="363"/>
      <c r="E39" s="562" t="str">
        <f>IF($A$21="X","€ / Gebäude",IF($A$22="X","DM / Gebäude",""))</f>
        <v>€ / Gebäude</v>
      </c>
      <c r="F39" s="563"/>
      <c r="G39" s="576" t="s">
        <v>301</v>
      </c>
      <c r="H39" s="579">
        <f>IF(B41="","",SUM(G41*I42))</f>
      </c>
      <c r="I39" s="578"/>
      <c r="J39" s="302">
        <f t="shared" si="5"/>
      </c>
      <c r="K39" s="303">
        <f t="shared" si="6"/>
      </c>
      <c r="L39" s="134">
        <f t="shared" si="7"/>
      </c>
      <c r="M39" s="519">
        <f t="shared" si="2"/>
      </c>
      <c r="N39" s="354"/>
      <c r="O39" s="355"/>
      <c r="P39" s="355"/>
      <c r="Q39" s="355"/>
      <c r="R39" s="355"/>
      <c r="S39" s="355"/>
      <c r="T39" s="355"/>
      <c r="U39" s="355"/>
      <c r="V39" s="355"/>
      <c r="W39" s="602"/>
      <c r="X39" s="272">
        <f>'LPH 8-9'!Y30</f>
        <v>0</v>
      </c>
      <c r="Y39" s="272">
        <f t="shared" si="3"/>
      </c>
      <c r="Z39" s="45">
        <f t="shared" si="4"/>
        <v>0</v>
      </c>
    </row>
    <row r="40" spans="1:107" s="37" customFormat="1" ht="12.75" customHeight="1">
      <c r="A40" s="270" t="s">
        <v>105</v>
      </c>
      <c r="B40" s="354"/>
      <c r="C40" s="276" t="s">
        <v>95</v>
      </c>
      <c r="D40" s="277" t="s">
        <v>93</v>
      </c>
      <c r="E40" s="30"/>
      <c r="F40" s="166"/>
      <c r="G40" s="30" t="str">
        <f>IF($A$21="X","€ / Gebäude",IF($A$22="X","DM / Gebäude",""))</f>
        <v>€ / Gebäude</v>
      </c>
      <c r="H40" s="558" t="s">
        <v>221</v>
      </c>
      <c r="I40" s="138">
        <f>IF(I39="",I34,I39)</f>
      </c>
      <c r="J40" s="508">
        <f>IF(N40="","",S50)</f>
        <v>25</v>
      </c>
      <c r="K40" s="166" t="s">
        <v>223</v>
      </c>
      <c r="L40" s="258">
        <f>MAX(L20:L39)</f>
        <v>2</v>
      </c>
      <c r="M40" s="258"/>
      <c r="N40" s="279">
        <f>MAX(N20:N39)</f>
        <v>35921</v>
      </c>
      <c r="O40" s="155">
        <f aca="true" t="shared" si="8" ref="O40:V40">MAX(O20:O39)</f>
        <v>0.3</v>
      </c>
      <c r="P40" s="155">
        <f t="shared" si="8"/>
        <v>0.3</v>
      </c>
      <c r="Q40" s="155">
        <f t="shared" si="8"/>
        <v>0.3</v>
      </c>
      <c r="R40" s="155">
        <f t="shared" si="8"/>
        <v>0.3</v>
      </c>
      <c r="S40" s="155">
        <f t="shared" si="8"/>
        <v>0</v>
      </c>
      <c r="T40" s="155">
        <f t="shared" si="8"/>
        <v>0</v>
      </c>
      <c r="U40" s="155">
        <f t="shared" si="8"/>
        <v>0</v>
      </c>
      <c r="V40" s="155">
        <f t="shared" si="8"/>
        <v>0</v>
      </c>
      <c r="W40" s="155" t="s">
        <v>163</v>
      </c>
      <c r="X40" s="272">
        <f>MAX(X20:X39)</f>
        <v>0</v>
      </c>
      <c r="Y40" s="272">
        <f>MAX(Y20:Y39)</f>
        <v>0</v>
      </c>
      <c r="Z40" s="45">
        <f>MAX(Z20:Z39)</f>
        <v>0</v>
      </c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</row>
    <row r="41" spans="1:107" s="37" customFormat="1" ht="12.75" customHeight="1">
      <c r="A41" s="268"/>
      <c r="B41" s="521">
        <f>IF(D39="",B35,IF(D39&gt;=250001,"",D39))</f>
      </c>
      <c r="C41" s="520" t="s">
        <v>109</v>
      </c>
      <c r="D41" s="363"/>
      <c r="E41" s="275">
        <f>IF($I$25="",D41,SUM(D41))</f>
        <v>0</v>
      </c>
      <c r="F41" s="30" t="s">
        <v>112</v>
      </c>
      <c r="G41" s="272">
        <f>IF(B41="","",SUM(E44))</f>
      </c>
      <c r="H41" s="574" t="s">
        <v>315</v>
      </c>
      <c r="I41" s="559" t="s">
        <v>296</v>
      </c>
      <c r="J41" s="269"/>
      <c r="K41" s="513" t="s">
        <v>238</v>
      </c>
      <c r="L41" s="514">
        <f>IF(L40=0,"",IF(J56=25,L40-1,IF(J56=55,L40,IF(J56=60,L40,IF(J56&gt;=60,"/S","")))))</f>
        <v>1</v>
      </c>
      <c r="M41" s="258"/>
      <c r="N41" s="280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281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</row>
    <row r="42" spans="1:107" s="37" customFormat="1" ht="12.75" customHeight="1">
      <c r="A42" s="268"/>
      <c r="B42" s="521">
        <f>IF(B41="","",IF(SUM(E41/B41)&gt;=C42,SUM(B41-E41),""))</f>
      </c>
      <c r="C42" s="324">
        <v>0.25</v>
      </c>
      <c r="D42" s="275">
        <f>IF(B41="","",IF(SUM(E41/B41)&gt;=C42,SUM(B41-E41)*C42,""))</f>
      </c>
      <c r="E42" s="275">
        <f>IF(B41="","",IF(SUM(E41/B41)&gt;=C42,SUM(E41-D42),""))</f>
      </c>
      <c r="F42" s="191" t="s">
        <v>114</v>
      </c>
      <c r="G42" s="272">
        <f>IF($G41="","",IF($F$29="","",SUM(G41*$F$29)))</f>
      </c>
      <c r="H42" s="330">
        <f>IF(B41="","",SUM(G41*I42))</f>
      </c>
      <c r="I42" s="551">
        <f>IF($I$40="",1,IF($I$40&gt;=5,SUM(($I$40-5)*0.4)+SUM((5-1)*0.5)+SUM(1*1),IF($I$40&lt;=5,SUM(($I$40-1)*0.5)+SUM(1*1))))</f>
        <v>1</v>
      </c>
      <c r="J42" s="270" t="s">
        <v>219</v>
      </c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44" t="s">
        <v>131</v>
      </c>
      <c r="X42" s="39" t="s">
        <v>132</v>
      </c>
      <c r="Y42" s="40" t="s">
        <v>133</v>
      </c>
      <c r="Z42" s="391" t="s">
        <v>134</v>
      </c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</row>
    <row r="43" spans="1:107" s="37" customFormat="1" ht="12.75" customHeight="1" thickBot="1">
      <c r="A43" s="270"/>
      <c r="B43" s="155">
        <v>1</v>
      </c>
      <c r="C43" s="43"/>
      <c r="D43" s="155">
        <v>1</v>
      </c>
      <c r="E43" s="155">
        <v>0.5</v>
      </c>
      <c r="F43" s="30" t="s">
        <v>106</v>
      </c>
      <c r="G43" s="278">
        <f>SUM(G41:G42)</f>
        <v>0</v>
      </c>
      <c r="H43" s="47" t="s">
        <v>303</v>
      </c>
      <c r="I43" s="267"/>
      <c r="J43" s="270" t="s">
        <v>140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4" t="s">
        <v>290</v>
      </c>
      <c r="X43" s="272">
        <f>SUM('LPH 1-4'!P36)</f>
        <v>0</v>
      </c>
      <c r="Y43" s="272">
        <f>SUM('LPH 5-7'!N36)</f>
        <v>0</v>
      </c>
      <c r="Z43" s="45">
        <f>SUM('LPH 8-9'!L36)</f>
        <v>0</v>
      </c>
      <c r="AA43" s="42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</row>
    <row r="44" spans="1:107" s="37" customFormat="1" ht="12.75" customHeight="1" thickBot="1" thickTop="1">
      <c r="A44" s="270"/>
      <c r="B44" s="521">
        <f>IF(B42="",B41,SUM(B42*B43)+(D42*D43)+(E42*E43))</f>
      </c>
      <c r="C44" s="272"/>
      <c r="D44" s="272" t="s">
        <v>66</v>
      </c>
      <c r="E44" s="272">
        <f>Honorar!E7</f>
      </c>
      <c r="F44" s="369">
        <f>SUM(S$17:U$17)</f>
        <v>0.38999999999999996</v>
      </c>
      <c r="G44" s="46">
        <f>IF(B41="","",SUM(G43*F44))</f>
      </c>
      <c r="H44" s="574" t="s">
        <v>316</v>
      </c>
      <c r="I44" s="267"/>
      <c r="J44" s="270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4" t="s">
        <v>135</v>
      </c>
      <c r="Z44" s="45">
        <f>SUM(X43:Z43)</f>
        <v>0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</row>
    <row r="45" spans="1:107" s="37" customFormat="1" ht="12.75" customHeight="1" thickBot="1">
      <c r="A45" s="545" t="s">
        <v>67</v>
      </c>
      <c r="B45" s="543" t="s">
        <v>75</v>
      </c>
      <c r="C45" s="544"/>
      <c r="D45" s="363"/>
      <c r="E45" s="564" t="str">
        <f>IF($A$21="X","€ / Gebäude",IF($A$22="X","DM / Gebäude",""))</f>
        <v>€ / Gebäude</v>
      </c>
      <c r="F45" s="565"/>
      <c r="G45" s="571" t="s">
        <v>301</v>
      </c>
      <c r="H45" s="580">
        <f>IF(B47="","",SUM(G47*I48))</f>
      </c>
      <c r="I45" s="267"/>
      <c r="J45" s="506"/>
      <c r="K45" s="43"/>
      <c r="L45" s="43"/>
      <c r="M45" s="518" t="s">
        <v>280</v>
      </c>
      <c r="N45" s="280">
        <f>MAX(M20:M39,M49,M53)</f>
        <v>35920</v>
      </c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4" t="s">
        <v>136</v>
      </c>
      <c r="Z45" s="188">
        <f>SUM(Z44*(1+$F$21))</f>
        <v>0</v>
      </c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</row>
    <row r="46" spans="1:107" s="37" customFormat="1" ht="12.75" customHeight="1">
      <c r="A46" s="270" t="s">
        <v>105</v>
      </c>
      <c r="B46" s="354"/>
      <c r="C46" s="276" t="s">
        <v>95</v>
      </c>
      <c r="D46" s="277" t="s">
        <v>93</v>
      </c>
      <c r="E46" s="30"/>
      <c r="F46" s="43"/>
      <c r="G46" s="30" t="str">
        <f>IF($A$21="X","€ / Gebäude",IF($A$22="X","DM / Gebäude",""))</f>
        <v>€ / Gebäude</v>
      </c>
      <c r="H46" s="558" t="s">
        <v>221</v>
      </c>
      <c r="I46" s="138">
        <f>I40</f>
      </c>
      <c r="J46" s="284"/>
      <c r="K46" s="43"/>
      <c r="L46" s="43"/>
      <c r="M46" s="43"/>
      <c r="N46" s="43"/>
      <c r="O46" s="43"/>
      <c r="P46" s="43" t="s">
        <v>124</v>
      </c>
      <c r="Q46" s="43"/>
      <c r="R46" s="43"/>
      <c r="S46" s="43"/>
      <c r="T46" s="43"/>
      <c r="U46" s="43"/>
      <c r="V46" s="43"/>
      <c r="W46" s="43"/>
      <c r="X46" s="43"/>
      <c r="Y46" s="43"/>
      <c r="Z46" s="281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</row>
    <row r="47" spans="1:107" s="37" customFormat="1" ht="12.75" customHeight="1">
      <c r="A47" s="268"/>
      <c r="B47" s="521">
        <f>IF(D45="",B41,IF(D45&gt;=250001,"",D45))</f>
      </c>
      <c r="C47" s="520" t="s">
        <v>109</v>
      </c>
      <c r="D47" s="363"/>
      <c r="E47" s="275">
        <f>IF($I$25="",D47,SUM(D47))</f>
        <v>0</v>
      </c>
      <c r="F47" s="30" t="s">
        <v>112</v>
      </c>
      <c r="G47" s="272">
        <f>IF(B47="","",SUM(E50))</f>
      </c>
      <c r="H47" s="575" t="s">
        <v>316</v>
      </c>
      <c r="I47" s="559" t="s">
        <v>296</v>
      </c>
      <c r="J47" s="284" t="s">
        <v>234</v>
      </c>
      <c r="K47" s="43"/>
      <c r="L47" s="43"/>
      <c r="M47" s="43"/>
      <c r="N47" s="412" t="str">
        <f>IF($W$18="","","mit 50% der L.Ph. 9")</f>
        <v>mit 50% der L.Ph. 9</v>
      </c>
      <c r="O47" s="43"/>
      <c r="P47" s="43" t="s">
        <v>126</v>
      </c>
      <c r="Q47" s="43"/>
      <c r="R47" s="43"/>
      <c r="S47" s="43"/>
      <c r="T47" s="43"/>
      <c r="U47" s="43"/>
      <c r="V47" s="43"/>
      <c r="W47" s="43"/>
      <c r="X47" s="43"/>
      <c r="Y47" s="43"/>
      <c r="Z47" s="281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</row>
    <row r="48" spans="1:107" s="37" customFormat="1" ht="12.75" customHeight="1">
      <c r="A48" s="268"/>
      <c r="B48" s="521">
        <f>IF(B47="","",IF(SUM(E47/B47)&gt;=C48,SUM(B47-E47),""))</f>
      </c>
      <c r="C48" s="324">
        <v>0.25</v>
      </c>
      <c r="D48" s="275">
        <f>IF(B47="","",IF(SUM(E47/B47)&gt;=C48,SUM(B47-E47)*C48,""))</f>
      </c>
      <c r="E48" s="275">
        <f>IF(B47="","",IF(SUM(E47/B47)&gt;=C48,SUM(E47-D48),""))</f>
      </c>
      <c r="F48" s="191" t="s">
        <v>114</v>
      </c>
      <c r="G48" s="272">
        <f>IF($G47="","",IF($F$29="","",SUM(G47*$F$29)))</f>
      </c>
      <c r="H48" s="331">
        <f>IF(B47="","",SUM(G47*I48))</f>
      </c>
      <c r="I48" s="551">
        <f>IF(I46="",1,IF(I46&gt;=5,SUM((I46-5)*0.4)+SUM((5-1)*0.5)+SUM(1*1),IF(I46&lt;=5,SUM((I46-1)*0.5)+SUM(1*1))))</f>
        <v>1</v>
      </c>
      <c r="J48" s="270"/>
      <c r="K48" s="259"/>
      <c r="L48" s="259"/>
      <c r="M48" s="259"/>
      <c r="N48" s="328" t="s">
        <v>210</v>
      </c>
      <c r="O48" s="43"/>
      <c r="P48" s="43"/>
      <c r="Q48" s="43"/>
      <c r="R48" s="43"/>
      <c r="S48" s="43"/>
      <c r="T48" s="43"/>
      <c r="U48" s="43"/>
      <c r="V48" s="43"/>
      <c r="W48" s="44" t="s">
        <v>131</v>
      </c>
      <c r="X48" s="39" t="s">
        <v>132</v>
      </c>
      <c r="Y48" s="40" t="s">
        <v>133</v>
      </c>
      <c r="Z48" s="392" t="str">
        <f>IF($W$18="","8","8 - 9")</f>
        <v>8 - 9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</row>
    <row r="49" spans="1:107" s="37" customFormat="1" ht="12.75" customHeight="1" thickBot="1">
      <c r="A49" s="270"/>
      <c r="B49" s="155">
        <v>1</v>
      </c>
      <c r="C49" s="43"/>
      <c r="D49" s="155">
        <v>1</v>
      </c>
      <c r="E49" s="155">
        <v>0.5</v>
      </c>
      <c r="F49" s="30" t="s">
        <v>106</v>
      </c>
      <c r="G49" s="278">
        <f>SUM(G47:G48)</f>
        <v>0</v>
      </c>
      <c r="H49" s="50" t="s">
        <v>304</v>
      </c>
      <c r="I49" s="281"/>
      <c r="J49" s="508">
        <f>IF(N49="","",U50)</f>
      </c>
      <c r="K49" s="186">
        <f>IF(L49="","",IF($H$20="","",IF($H$20&lt;=N49,$F$20,"")))</f>
      </c>
      <c r="L49" s="134">
        <f>IF(N49="","",IF($J$56=30,"/S",IF($J$56=55,"/S",IF($J$56=60,"/S",IF($J$56=65,"/S",IF($J$56=90,"/S",""))))))</f>
      </c>
      <c r="M49" s="519">
        <f>IF(L49="","",IF(K49=MAX($J$20:$K$39),"",IF(K49=$F$20,N49)))</f>
      </c>
      <c r="N49" s="354"/>
      <c r="O49" s="319">
        <f>IF(O18="","",IF($N$49="","",IF($L$49="","",1)))</f>
      </c>
      <c r="P49" s="319">
        <f>IF(P18="","",IF($N$49="","",IF($L$49="","",1)))</f>
      </c>
      <c r="Q49" s="319">
        <f aca="true" t="shared" si="9" ref="Q49:V49">IF(Q18="","",IF($N$49="","",IF($L$49="","",1)))</f>
      </c>
      <c r="R49" s="319">
        <f t="shared" si="9"/>
      </c>
      <c r="S49" s="319">
        <f t="shared" si="9"/>
      </c>
      <c r="T49" s="319">
        <f t="shared" si="9"/>
      </c>
      <c r="U49" s="319">
        <f t="shared" si="9"/>
      </c>
      <c r="V49" s="319">
        <f t="shared" si="9"/>
      </c>
      <c r="W49" s="319">
        <f>IF(W18="","",IF($L$49="","",0.5))</f>
      </c>
      <c r="X49" s="272">
        <f>IF(N49="","",SUM('LPH 1-4'!M33))</f>
      </c>
      <c r="Y49" s="272">
        <f>IF(N49="","",SUM('LPH 5-7'!K33))</f>
      </c>
      <c r="Z49" s="45">
        <f>IF(N49="","",SUM('LPH 8-9'!I33))</f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</row>
    <row r="50" spans="1:107" s="37" customFormat="1" ht="12.75" customHeight="1" thickBot="1" thickTop="1">
      <c r="A50" s="270"/>
      <c r="B50" s="521">
        <f>IF(B48="",B47,SUM(B48*B49)+(D48*D49)+(E48*E49))</f>
      </c>
      <c r="C50" s="272"/>
      <c r="D50" s="272" t="s">
        <v>66</v>
      </c>
      <c r="E50" s="272">
        <f>Honorar!E10</f>
      </c>
      <c r="F50" s="369">
        <f>SUM(V$17:W$17)</f>
        <v>0.33999999999999997</v>
      </c>
      <c r="G50" s="49">
        <f>IF(B47=0,"",SUM(G49*$F$50))</f>
        <v>0</v>
      </c>
      <c r="H50" s="575" t="s">
        <v>317</v>
      </c>
      <c r="I50" s="281"/>
      <c r="J50" s="270"/>
      <c r="K50" s="43"/>
      <c r="L50" s="43"/>
      <c r="M50" s="43"/>
      <c r="N50" s="510" t="s">
        <v>266</v>
      </c>
      <c r="O50" s="507"/>
      <c r="P50" s="516" t="s">
        <v>277</v>
      </c>
      <c r="Q50" s="515" t="s">
        <v>274</v>
      </c>
      <c r="R50" s="511" t="s">
        <v>267</v>
      </c>
      <c r="S50" s="512">
        <v>25</v>
      </c>
      <c r="T50" s="511" t="s">
        <v>268</v>
      </c>
      <c r="U50" s="512">
        <v>30</v>
      </c>
      <c r="V50" s="511" t="s">
        <v>272</v>
      </c>
      <c r="W50" s="512">
        <v>35</v>
      </c>
      <c r="X50" s="43"/>
      <c r="Y50" s="44" t="s">
        <v>135</v>
      </c>
      <c r="Z50" s="45">
        <f>SUM(X49:Z49)</f>
        <v>0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</row>
    <row r="51" spans="1:107" s="37" customFormat="1" ht="12.75" customHeight="1" thickBot="1">
      <c r="A51" s="48" t="s">
        <v>65</v>
      </c>
      <c r="B51" s="546" t="s">
        <v>76</v>
      </c>
      <c r="C51" s="547"/>
      <c r="D51" s="363"/>
      <c r="E51" s="566" t="str">
        <f>IF($A$21="X","€ / Gebäude",IF($A$22="X","DM / Gebäude",""))</f>
        <v>€ / Gebäude</v>
      </c>
      <c r="F51" s="567"/>
      <c r="G51" s="570" t="s">
        <v>301</v>
      </c>
      <c r="H51" s="581">
        <f>IF(B53="","",SUM(G53*I54))</f>
      </c>
      <c r="I51" s="281"/>
      <c r="J51" s="347" t="str">
        <f>IF($W$18="","","Schlussrechnung mit L.Ph. 9")</f>
        <v>Schlussrechnung mit L.Ph. 9</v>
      </c>
      <c r="K51" s="43"/>
      <c r="L51" s="43"/>
      <c r="M51" s="506"/>
      <c r="N51" s="506"/>
      <c r="O51" s="507"/>
      <c r="P51" s="510" t="s">
        <v>276</v>
      </c>
      <c r="Q51" s="515" t="s">
        <v>273</v>
      </c>
      <c r="R51" s="511" t="s">
        <v>270</v>
      </c>
      <c r="S51" s="512">
        <v>55</v>
      </c>
      <c r="T51" s="511" t="s">
        <v>269</v>
      </c>
      <c r="U51" s="512">
        <v>65</v>
      </c>
      <c r="V51" s="43"/>
      <c r="W51" s="43"/>
      <c r="X51" s="43"/>
      <c r="Y51" s="44" t="s">
        <v>136</v>
      </c>
      <c r="Z51" s="194">
        <f>SUM(Z50*(1+$F$21))</f>
        <v>0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</row>
    <row r="52" spans="1:107" s="37" customFormat="1" ht="12.75" customHeight="1">
      <c r="A52" s="270" t="s">
        <v>105</v>
      </c>
      <c r="B52" s="354"/>
      <c r="C52" s="276" t="s">
        <v>95</v>
      </c>
      <c r="D52" s="277" t="s">
        <v>93</v>
      </c>
      <c r="E52" s="30"/>
      <c r="F52" s="43"/>
      <c r="G52" s="30" t="str">
        <f>IF($A$21="X","€ / Gebäude",IF($A$22="X","DM / Gebäude",""))</f>
        <v>€ / Gebäude</v>
      </c>
      <c r="H52" s="30"/>
      <c r="I52" s="138">
        <f>I46</f>
      </c>
      <c r="J52" s="270"/>
      <c r="K52" s="259"/>
      <c r="L52" s="259"/>
      <c r="M52" s="506"/>
      <c r="N52" s="507"/>
      <c r="O52" s="507"/>
      <c r="P52" s="510" t="s">
        <v>278</v>
      </c>
      <c r="Q52" s="515" t="s">
        <v>275</v>
      </c>
      <c r="R52" s="511" t="s">
        <v>271</v>
      </c>
      <c r="S52" s="512">
        <v>90</v>
      </c>
      <c r="T52" s="43"/>
      <c r="U52" s="43"/>
      <c r="V52" s="43"/>
      <c r="W52" s="44" t="s">
        <v>131</v>
      </c>
      <c r="X52" s="39" t="s">
        <v>132</v>
      </c>
      <c r="Y52" s="40" t="s">
        <v>133</v>
      </c>
      <c r="Z52" s="392" t="str">
        <f>IF($W$18="","8","8 - 9")</f>
        <v>8 - 9</v>
      </c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</row>
    <row r="53" spans="1:107" s="37" customFormat="1" ht="12.75" customHeight="1">
      <c r="A53" s="268"/>
      <c r="B53" s="521">
        <f>IF(D51="",B47,IF(D51&gt;=250001,"",D51))</f>
      </c>
      <c r="C53" s="520" t="s">
        <v>109</v>
      </c>
      <c r="D53" s="363"/>
      <c r="E53" s="275">
        <f>IF($I$25="",D53,SUM(D53))</f>
        <v>0</v>
      </c>
      <c r="F53" s="30" t="s">
        <v>112</v>
      </c>
      <c r="G53" s="272">
        <f>IF(B53="","",SUM(E56))</f>
      </c>
      <c r="H53" s="30"/>
      <c r="I53" s="559" t="s">
        <v>296</v>
      </c>
      <c r="J53" s="508">
        <f>IF(N53="","",W50)</f>
      </c>
      <c r="K53" s="186">
        <f>IF(L53="","",IF($H$20="","",IF($H$20&lt;=N53,$F$20,"")))</f>
      </c>
      <c r="L53" s="134">
        <f>IF($W$18="","",IF(N53="","",IF($J$56=35,"/S",IF($J$56&gt;=59,"/S2"))))</f>
      </c>
      <c r="M53" s="519">
        <f>IF(L53="","",IF(K53=MAX($J$20:$K$39),"",IF(K53=$F$20,N53)))</f>
      </c>
      <c r="N53" s="354"/>
      <c r="O53" s="285">
        <f>IF(O18="","",IF($N$53="","",IF($L$53="","",1)))</f>
      </c>
      <c r="P53" s="285">
        <f aca="true" t="shared" si="10" ref="P53:W53">IF(P18="","",IF($N$53="","",IF($L$53="","",1)))</f>
      </c>
      <c r="Q53" s="285">
        <f t="shared" si="10"/>
      </c>
      <c r="R53" s="285">
        <f t="shared" si="10"/>
      </c>
      <c r="S53" s="285">
        <f t="shared" si="10"/>
      </c>
      <c r="T53" s="285">
        <f t="shared" si="10"/>
      </c>
      <c r="U53" s="285">
        <f t="shared" si="10"/>
      </c>
      <c r="V53" s="285">
        <f t="shared" si="10"/>
      </c>
      <c r="W53" s="285">
        <f t="shared" si="10"/>
      </c>
      <c r="X53" s="272">
        <f>IF(L53="","",SUM('LPH 1-4'!M36))</f>
      </c>
      <c r="Y53" s="272">
        <f>IF(L53="","",SUM('LPH 5-7'!K36))</f>
      </c>
      <c r="Z53" s="45">
        <f>IF(L53="","",SUM('LPH 8-9'!I36))</f>
      </c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</row>
    <row r="54" spans="1:107" s="37" customFormat="1" ht="12.75" customHeight="1">
      <c r="A54" s="268"/>
      <c r="B54" s="521">
        <f>IF(B53="","",IF(SUM(E53/B53)&gt;=C54,SUM(B53-E53),""))</f>
      </c>
      <c r="C54" s="324">
        <v>0.25</v>
      </c>
      <c r="D54" s="275">
        <f>IF(B53="","",IF(SUM(E53/B53)&gt;=C54,SUM(B53-E53)*C54,""))</f>
      </c>
      <c r="E54" s="275">
        <f>IF(B53="","",IF(SUM(E53/B53)&gt;=C54,SUM(E53-D54),""))</f>
      </c>
      <c r="F54" s="191" t="s">
        <v>114</v>
      </c>
      <c r="G54" s="272">
        <f>IF($G53="","",IF($F$29="","",SUM(G53*$F$29)))</f>
      </c>
      <c r="H54" s="30"/>
      <c r="I54" s="551">
        <f>IF(I52="",1,IF(I52&gt;=5,SUM((I52-5)*0.4)+SUM((5-1)*0.5)+SUM(1*1),IF(I52&lt;=5,SUM((I52-1)*0.5)+SUM(1*1))))</f>
        <v>1</v>
      </c>
      <c r="J54" s="270"/>
      <c r="K54" s="43"/>
      <c r="L54" s="43"/>
      <c r="M54" s="43"/>
      <c r="N54" s="595">
        <f>IF(W18="","INAKTIV !!","")</f>
      </c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4" t="s">
        <v>135</v>
      </c>
      <c r="Z54" s="45">
        <f>SUM(X53:Z53)</f>
        <v>0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</row>
    <row r="55" spans="1:107" s="37" customFormat="1" ht="12.75" customHeight="1" thickBot="1">
      <c r="A55" s="270"/>
      <c r="B55" s="155">
        <v>1</v>
      </c>
      <c r="C55" s="43"/>
      <c r="D55" s="155">
        <v>1</v>
      </c>
      <c r="E55" s="155">
        <v>0.5</v>
      </c>
      <c r="F55" s="30" t="s">
        <v>106</v>
      </c>
      <c r="G55" s="278">
        <f>SUM(G53:G54)</f>
        <v>0</v>
      </c>
      <c r="H55" s="30" t="s">
        <v>56</v>
      </c>
      <c r="I55" s="281"/>
      <c r="J55" s="508">
        <f>MAX(J40:J53)</f>
        <v>25</v>
      </c>
      <c r="K55" s="273" t="s">
        <v>223</v>
      </c>
      <c r="L55" s="428"/>
      <c r="M55" s="43"/>
      <c r="N55" s="280">
        <f>MAX(N40,N49,N53)</f>
        <v>35921</v>
      </c>
      <c r="O55" s="375">
        <f>IF(O18="","",MAX(O40,O49,O53))</f>
        <v>0.3</v>
      </c>
      <c r="P55" s="375">
        <f aca="true" t="shared" si="11" ref="P55:W55">IF(P18="","",MAX(P40,P49,P53))</f>
        <v>0.3</v>
      </c>
      <c r="Q55" s="375">
        <f t="shared" si="11"/>
        <v>0.3</v>
      </c>
      <c r="R55" s="375">
        <f t="shared" si="11"/>
        <v>0.3</v>
      </c>
      <c r="S55" s="375">
        <f t="shared" si="11"/>
        <v>0</v>
      </c>
      <c r="T55" s="375">
        <f t="shared" si="11"/>
        <v>0</v>
      </c>
      <c r="U55" s="375">
        <f t="shared" si="11"/>
        <v>0</v>
      </c>
      <c r="V55" s="375">
        <f t="shared" si="11"/>
        <v>0</v>
      </c>
      <c r="W55" s="375">
        <f t="shared" si="11"/>
        <v>0</v>
      </c>
      <c r="X55" s="43"/>
      <c r="Y55" s="44" t="s">
        <v>136</v>
      </c>
      <c r="Z55" s="286">
        <f>SUM(Z54*(1+$F$21))</f>
        <v>0</v>
      </c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</row>
    <row r="56" spans="1:107" s="37" customFormat="1" ht="12.75" customHeight="1" thickBot="1" thickTop="1">
      <c r="A56" s="282"/>
      <c r="B56" s="554">
        <f>IF(B54="",B53,SUM(B54*B55)+(D54*D55)+(E54*E55))</f>
      </c>
      <c r="C56" s="434"/>
      <c r="D56" s="434" t="s">
        <v>66</v>
      </c>
      <c r="E56" s="434">
        <f>Honorar!E13</f>
      </c>
      <c r="F56" s="555"/>
      <c r="G56" s="556">
        <f>IF(B53=0,"",SUM(G55*$F$50))</f>
        <v>0</v>
      </c>
      <c r="H56" s="582">
        <f>SUM(H39,H45,H51)</f>
        <v>0</v>
      </c>
      <c r="I56" s="557"/>
      <c r="J56" s="509">
        <f>SUM(J40:J53)</f>
        <v>25</v>
      </c>
      <c r="K56" s="517" t="s">
        <v>279</v>
      </c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83"/>
      <c r="Z56" s="287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</row>
    <row r="57" spans="1:107" s="37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</row>
    <row r="58" spans="1:107" s="37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</row>
    <row r="59" spans="1:107" s="37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</row>
    <row r="60" spans="1:107" s="37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12"/>
      <c r="Q60" s="12"/>
      <c r="R60" s="12"/>
      <c r="S60" s="12"/>
      <c r="T60" s="12"/>
      <c r="U60" s="12"/>
      <c r="V60" s="12"/>
      <c r="W60" s="12"/>
      <c r="X60" s="12"/>
      <c r="Y60" s="28"/>
      <c r="Z60" s="28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</row>
    <row r="61" spans="1:107" s="37" customFormat="1" ht="20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12"/>
      <c r="Q61" s="12"/>
      <c r="R61" s="12"/>
      <c r="S61" s="12"/>
      <c r="T61" s="12"/>
      <c r="U61" s="12"/>
      <c r="V61" s="12"/>
      <c r="W61" s="12"/>
      <c r="X61" s="12"/>
      <c r="Y61" s="28"/>
      <c r="Z61" s="28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</row>
    <row r="62" spans="1:107" s="37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12"/>
      <c r="Q62" s="12"/>
      <c r="R62" s="12"/>
      <c r="S62" s="12"/>
      <c r="T62" s="12"/>
      <c r="U62" s="12"/>
      <c r="V62" s="12"/>
      <c r="W62" s="12"/>
      <c r="X62" s="12"/>
      <c r="Y62" s="28"/>
      <c r="Z62" s="28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</row>
    <row r="63" spans="1:107" s="37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12"/>
      <c r="Q63" s="12"/>
      <c r="R63" s="12"/>
      <c r="S63" s="12"/>
      <c r="T63" s="12"/>
      <c r="U63" s="12"/>
      <c r="V63" s="12"/>
      <c r="W63" s="12"/>
      <c r="X63" s="12"/>
      <c r="Y63" s="28"/>
      <c r="Z63" s="28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</row>
    <row r="64" spans="1:26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12"/>
      <c r="Q64" s="12"/>
      <c r="R64" s="12"/>
      <c r="S64" s="12"/>
      <c r="T64" s="12"/>
      <c r="U64" s="12"/>
      <c r="V64" s="12"/>
      <c r="W64" s="12"/>
      <c r="X64" s="12"/>
      <c r="Y64" s="28"/>
      <c r="Z64" s="28"/>
    </row>
    <row r="65" spans="1:2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 s="12"/>
      <c r="Q65" s="12"/>
      <c r="R65" s="12"/>
      <c r="S65" s="12"/>
      <c r="T65" s="12"/>
      <c r="U65" s="12"/>
      <c r="V65" s="12"/>
      <c r="W65" s="12"/>
      <c r="X65" s="12"/>
      <c r="Y65" s="28"/>
      <c r="Z65" s="28"/>
    </row>
    <row r="66" spans="1:2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 s="12"/>
      <c r="Q66" s="12"/>
      <c r="R66" s="12"/>
      <c r="S66" s="12"/>
      <c r="T66" s="12"/>
      <c r="U66" s="12"/>
      <c r="V66" s="12"/>
      <c r="W66" s="12"/>
      <c r="X66" s="12"/>
      <c r="Y66" s="28"/>
      <c r="Z66" s="28"/>
    </row>
    <row r="67" spans="1:2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 s="12"/>
      <c r="Q67" s="12"/>
      <c r="R67" s="12"/>
      <c r="S67" s="12"/>
      <c r="T67" s="12"/>
      <c r="U67" s="12"/>
      <c r="V67" s="12"/>
      <c r="W67" s="12"/>
      <c r="X67" s="12"/>
      <c r="Y67" s="28"/>
      <c r="Z67" s="28"/>
    </row>
    <row r="68" spans="1:2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 s="37"/>
      <c r="Q68" s="37"/>
      <c r="R68" s="37"/>
      <c r="S68" s="37"/>
      <c r="T68" s="37"/>
      <c r="U68" s="37"/>
      <c r="V68" s="37"/>
      <c r="W68" s="37"/>
      <c r="X68" s="37"/>
      <c r="Y68" s="28"/>
      <c r="Z68" s="28"/>
    </row>
    <row r="69" spans="1:2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X71" s="37"/>
      <c r="Y71" s="37"/>
      <c r="Z71" s="37"/>
    </row>
    <row r="72" spans="1:26" ht="12.75">
      <c r="A72" s="37"/>
      <c r="B72" s="37"/>
      <c r="C72" s="37"/>
      <c r="D72" s="37"/>
      <c r="E72" s="37"/>
      <c r="F72" s="37"/>
      <c r="X72" s="37"/>
      <c r="Y72" s="37"/>
      <c r="Z72" s="37"/>
    </row>
    <row r="73" spans="1:26" ht="12.75">
      <c r="A73" s="37"/>
      <c r="B73" s="37"/>
      <c r="C73" s="37"/>
      <c r="D73" s="37"/>
      <c r="E73" s="37"/>
      <c r="F73" s="37"/>
      <c r="X73" s="37"/>
      <c r="Y73" s="37"/>
      <c r="Z73" s="37"/>
    </row>
    <row r="74" spans="1:6" ht="12.75">
      <c r="A74" s="37"/>
      <c r="B74" s="37"/>
      <c r="C74" s="37"/>
      <c r="D74" s="37"/>
      <c r="E74" s="37"/>
      <c r="F74" s="37"/>
    </row>
    <row r="75" spans="1:6" ht="12.75">
      <c r="A75" s="37"/>
      <c r="B75" s="37"/>
      <c r="C75" s="37"/>
      <c r="D75" s="37"/>
      <c r="E75" s="37"/>
      <c r="F75" s="37"/>
    </row>
    <row r="76" spans="1:6" ht="12.75">
      <c r="A76" s="37"/>
      <c r="B76" s="37"/>
      <c r="C76" s="37"/>
      <c r="D76" s="37"/>
      <c r="E76" s="37"/>
      <c r="F76" s="37"/>
    </row>
    <row r="77" spans="1:6" ht="12.75">
      <c r="A77" s="37"/>
      <c r="B77" s="37"/>
      <c r="C77" s="37"/>
      <c r="D77" s="37"/>
      <c r="E77" s="37"/>
      <c r="F77" s="37"/>
    </row>
    <row r="78" spans="1:6" ht="12.75">
      <c r="A78" s="37"/>
      <c r="B78" s="37"/>
      <c r="C78" s="37"/>
      <c r="D78" s="37"/>
      <c r="E78" s="37"/>
      <c r="F78" s="37"/>
    </row>
  </sheetData>
  <sheetProtection password="C611" sheet="1" objects="1" scenarios="1"/>
  <mergeCells count="21">
    <mergeCell ref="G29:I29"/>
    <mergeCell ref="A1:B1"/>
    <mergeCell ref="C9:G9"/>
    <mergeCell ref="C7:G7"/>
    <mergeCell ref="C3:G3"/>
    <mergeCell ref="C4:G4"/>
    <mergeCell ref="C5:D5"/>
    <mergeCell ref="Q7:Q15"/>
    <mergeCell ref="U7:U15"/>
    <mergeCell ref="J1:L1"/>
    <mergeCell ref="C8:G8"/>
    <mergeCell ref="W20:W39"/>
    <mergeCell ref="J19:K19"/>
    <mergeCell ref="W7:W15"/>
    <mergeCell ref="C10:G10"/>
    <mergeCell ref="O7:O15"/>
    <mergeCell ref="P7:P15"/>
    <mergeCell ref="S7:S15"/>
    <mergeCell ref="T7:T15"/>
    <mergeCell ref="R7:R15"/>
    <mergeCell ref="V7:V15"/>
  </mergeCells>
  <printOptions horizontalCentered="1" verticalCentered="1"/>
  <pageMargins left="0.3937007874015748" right="0" top="0.3937007874015748" bottom="0" header="0" footer="0"/>
  <pageSetup fitToHeight="1" fitToWidth="1" horizontalDpi="300" verticalDpi="300" orientation="landscape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55"/>
  <sheetViews>
    <sheetView showZeros="0" workbookViewId="0" topLeftCell="A1">
      <selection activeCell="A1" sqref="A1:C1"/>
    </sheetView>
  </sheetViews>
  <sheetFormatPr defaultColWidth="11.421875" defaultRowHeight="12.75"/>
  <cols>
    <col min="1" max="1" width="5.28125" style="4" customWidth="1"/>
    <col min="2" max="3" width="4.7109375" style="4" customWidth="1"/>
    <col min="4" max="4" width="12.140625" style="4" customWidth="1"/>
    <col min="5" max="5" width="5.28125" style="4" customWidth="1"/>
    <col min="6" max="6" width="9.8515625" style="4" customWidth="1"/>
    <col min="7" max="7" width="5.28125" style="4" customWidth="1"/>
    <col min="8" max="8" width="9.8515625" style="4" customWidth="1"/>
    <col min="9" max="9" width="5.28125" style="4" customWidth="1"/>
    <col min="10" max="10" width="9.8515625" style="4" customWidth="1"/>
    <col min="11" max="11" width="5.28125" style="4" customWidth="1"/>
    <col min="12" max="19" width="9.8515625" style="4" customWidth="1"/>
    <col min="20" max="20" width="9.8515625" style="6" customWidth="1"/>
    <col min="21" max="21" width="3.140625" style="53" customWidth="1"/>
    <col min="22" max="22" width="9.28125" style="6" customWidth="1"/>
    <col min="23" max="23" width="9.28125" style="420" customWidth="1"/>
    <col min="24" max="24" width="3.140625" style="381" customWidth="1"/>
    <col min="25" max="25" width="10.140625" style="411" bestFit="1" customWidth="1"/>
    <col min="26" max="26" width="10.00390625" style="6" customWidth="1"/>
    <col min="27" max="97" width="11.421875" style="6" customWidth="1"/>
    <col min="98" max="16384" width="11.421875" style="4" customWidth="1"/>
  </cols>
  <sheetData>
    <row r="1" spans="1:97" ht="12.75" customHeight="1">
      <c r="A1" s="621" t="s">
        <v>155</v>
      </c>
      <c r="B1" s="621"/>
      <c r="C1" s="621"/>
      <c r="D1" s="166"/>
      <c r="E1" s="347"/>
      <c r="F1" s="400" t="s">
        <v>185</v>
      </c>
      <c r="G1" s="173" t="s">
        <v>182</v>
      </c>
      <c r="H1" s="347" t="str">
        <f>IF(STAMMDATEN!$A$28="X",STAMMDATEN!$B$28,IF(STAMMDATEN!$A$29="X",STAMMDATEN!$B$29,IF(STAMMDATEN!$A$30="X",STAMMDATEN!$B$30,"")))</f>
        <v>Gebäude</v>
      </c>
      <c r="I1" s="347" t="str">
        <f>IF(STAMMDATEN!$A$28="X",STAMMDATEN!$D$28,IF(STAMMDATEN!$A$29="X",STAMMDATEN!$D$29,IF(STAMMDATEN!$A$30="X",STAMMDATEN!$D$30,"")))</f>
        <v>nach HOAI § 16</v>
      </c>
      <c r="J1" s="166"/>
      <c r="K1" s="166"/>
      <c r="L1" s="166"/>
      <c r="M1" s="166"/>
      <c r="N1" s="166"/>
      <c r="O1" s="166"/>
      <c r="P1" s="166"/>
      <c r="Q1" s="177" t="s">
        <v>68</v>
      </c>
      <c r="R1" s="209" t="s">
        <v>6</v>
      </c>
      <c r="S1" s="340"/>
      <c r="T1" s="340"/>
      <c r="U1" s="406"/>
      <c r="CS1" s="4"/>
    </row>
    <row r="2" spans="1:97" ht="12.75">
      <c r="A2" s="549" t="s">
        <v>324</v>
      </c>
      <c r="B2" s="273"/>
      <c r="C2" s="30"/>
      <c r="D2" s="30"/>
      <c r="E2" s="133"/>
      <c r="F2" s="133"/>
      <c r="G2" s="121"/>
      <c r="H2" s="133"/>
      <c r="I2" s="133"/>
      <c r="J2" s="121"/>
      <c r="K2" s="121"/>
      <c r="L2" s="133"/>
      <c r="M2" s="133"/>
      <c r="N2" s="133"/>
      <c r="O2" s="140" t="s">
        <v>51</v>
      </c>
      <c r="P2" s="590">
        <f>D38</f>
        <v>35921</v>
      </c>
      <c r="Q2" s="372">
        <f>STAMMDATEN!$B$34</f>
        <v>0</v>
      </c>
      <c r="R2" s="372">
        <f>IF(Q2&gt;=STAMMDATEN!B40,"",STAMMDATEN!B40)</f>
      </c>
      <c r="S2" s="141"/>
      <c r="T2" s="141"/>
      <c r="U2" s="147"/>
      <c r="CS2" s="4"/>
    </row>
    <row r="3" spans="1:97" ht="12.75" customHeight="1">
      <c r="A3" s="273"/>
      <c r="B3" s="43"/>
      <c r="C3" s="43"/>
      <c r="D3" s="401" t="s">
        <v>165</v>
      </c>
      <c r="E3" s="121"/>
      <c r="F3" s="577">
        <f>SUM(Q3:R3)</f>
        <v>0</v>
      </c>
      <c r="G3" s="121"/>
      <c r="H3" s="121"/>
      <c r="I3" s="121"/>
      <c r="J3" s="121"/>
      <c r="K3" s="121"/>
      <c r="L3" s="133"/>
      <c r="M3" s="133"/>
      <c r="N3" s="133"/>
      <c r="O3" s="133"/>
      <c r="P3" s="372"/>
      <c r="Q3" s="123">
        <f>IF(Q2="","",STAMMDATEN!H36)</f>
      </c>
      <c r="R3" s="124">
        <f>IF(R2="","",STAMMDATEN!H39)</f>
      </c>
      <c r="S3" s="141"/>
      <c r="T3" s="141"/>
      <c r="X3" s="399"/>
      <c r="CS3" s="4"/>
    </row>
    <row r="4" spans="1:97" ht="13.5" thickBot="1">
      <c r="A4" s="273"/>
      <c r="B4" s="43"/>
      <c r="C4" s="177" t="s">
        <v>68</v>
      </c>
      <c r="D4" s="402">
        <f>SUM(F4,H4,J4,L4)</f>
        <v>0</v>
      </c>
      <c r="E4" s="183"/>
      <c r="F4" s="167">
        <f>IF(E6="","",IF(E8="","",IF($Q$3="","",SUM(E$8*$Q$3*E6))))</f>
      </c>
      <c r="G4" s="183"/>
      <c r="H4" s="167">
        <f>IF(G6="","",IF(G8="","",IF($Q$3="","",SUM(G$8*$Q$3*G6))))</f>
      </c>
      <c r="I4" s="183"/>
      <c r="J4" s="167">
        <f>IF(I6="","",IF(I8="","",IF($Q$3="","",SUM(I$8*$Q$3*I6))))</f>
      </c>
      <c r="K4" s="183"/>
      <c r="L4" s="167">
        <f>IF(K6="","",IF(K8="","",IF($Q$3="","",SUM(K$8*$Q$3*K6))))</f>
      </c>
      <c r="M4" s="150"/>
      <c r="N4" s="133"/>
      <c r="O4" s="149" t="s">
        <v>164</v>
      </c>
      <c r="P4" s="306">
        <f>SUM(E8,G8,I8,K8)</f>
        <v>0.27</v>
      </c>
      <c r="Q4" s="123">
        <f>IF(Q3="","",SUM(Q3*P4))</f>
      </c>
      <c r="R4" s="123">
        <f>IF(R3="","",SUM(R3*P4))</f>
      </c>
      <c r="S4" s="141"/>
      <c r="T4" s="141"/>
      <c r="U4" s="399"/>
      <c r="X4" s="617" t="s">
        <v>232</v>
      </c>
      <c r="CS4" s="4"/>
    </row>
    <row r="5" spans="1:97" ht="13.5" customHeight="1" thickBot="1">
      <c r="A5" s="273"/>
      <c r="B5" s="43"/>
      <c r="C5" s="213" t="s">
        <v>6</v>
      </c>
      <c r="D5" s="402">
        <f>SUM(F5,H5,J5,L5)</f>
        <v>0</v>
      </c>
      <c r="E5" s="324"/>
      <c r="F5" s="167">
        <f>IF(E6="","",IF(E8="","",IF($R$3="","",SUM(E$8*$R$3*E6))))</f>
      </c>
      <c r="G5" s="324"/>
      <c r="H5" s="167">
        <f>IF(G6="","",IF(G8="","",IF($R$3="","",SUM(G$8*$R$3*G6))))</f>
      </c>
      <c r="I5" s="324"/>
      <c r="J5" s="167">
        <f>IF(I6="","",IF(I8="","",IF($R$3="","",SUM(I$8*$R$3*I6))))</f>
      </c>
      <c r="K5" s="324"/>
      <c r="L5" s="167">
        <f>IF(K6="","",IF(K8="","",IF($R$3="","",SUM(K$8*$R$3*K6))))</f>
      </c>
      <c r="M5" s="150"/>
      <c r="N5" s="133"/>
      <c r="O5" s="334" t="s">
        <v>212</v>
      </c>
      <c r="P5" s="367">
        <f>SUM(E7,G7,I7,K7)</f>
        <v>0.27</v>
      </c>
      <c r="Q5" s="311">
        <f>IF(Q3="","",SUM(Q3*P5))</f>
      </c>
      <c r="R5" s="312">
        <f>IF(R3="","",SUM(R3*P5))</f>
      </c>
      <c r="S5" s="141"/>
      <c r="T5" s="141"/>
      <c r="U5" s="617" t="s">
        <v>233</v>
      </c>
      <c r="X5" s="617"/>
      <c r="CS5" s="4"/>
    </row>
    <row r="6" spans="1:97" ht="12.75" customHeight="1">
      <c r="A6" s="403" t="s">
        <v>32</v>
      </c>
      <c r="B6" s="618" t="s">
        <v>181</v>
      </c>
      <c r="C6" s="619"/>
      <c r="D6" s="620"/>
      <c r="E6" s="323">
        <f>IF(STAMMDATEN!$O$18="","",STAMMDATEN!$O$18)</f>
        <v>1</v>
      </c>
      <c r="F6" s="253">
        <v>1</v>
      </c>
      <c r="G6" s="156">
        <f>IF(STAMMDATEN!$P$18="","",STAMMDATEN!$P$18)</f>
        <v>1</v>
      </c>
      <c r="H6" s="252">
        <v>2</v>
      </c>
      <c r="I6" s="156">
        <f>IF(STAMMDATEN!$Q$18="","",STAMMDATEN!$Q$18)</f>
        <v>1</v>
      </c>
      <c r="J6" s="252">
        <v>3</v>
      </c>
      <c r="K6" s="156">
        <f>IF(STAMMDATEN!$R$18="","",STAMMDATEN!$R$18)</f>
        <v>1</v>
      </c>
      <c r="L6" s="310">
        <v>4</v>
      </c>
      <c r="M6" s="408">
        <f>SUM(E6,G6,I6,K6)/4</f>
        <v>1</v>
      </c>
      <c r="N6" s="133"/>
      <c r="O6" s="309" t="s">
        <v>201</v>
      </c>
      <c r="P6" s="306">
        <f>STAMMDATEN!F29</f>
        <v>0.2</v>
      </c>
      <c r="Q6" s="123">
        <f>IF(Q5="","",SUM(Q5*(1+P6)))</f>
      </c>
      <c r="R6" s="123">
        <f>IF(R5="","",SUM(R5*(1+P6)))</f>
      </c>
      <c r="S6" s="141"/>
      <c r="T6" s="141"/>
      <c r="U6" s="617"/>
      <c r="X6" s="617"/>
      <c r="CS6" s="4"/>
    </row>
    <row r="7" spans="1:97" ht="12.75">
      <c r="A7" s="404">
        <f>STAMMDATEN!F19</f>
        <v>0.15</v>
      </c>
      <c r="B7" s="175" t="s">
        <v>62</v>
      </c>
      <c r="C7" s="176"/>
      <c r="D7" s="128"/>
      <c r="E7" s="320">
        <f>IF(E8="","",SUM(E6*E8))</f>
        <v>0.03</v>
      </c>
      <c r="F7" s="163"/>
      <c r="G7" s="320">
        <f>IF(G8="","",SUM(G6*G8))</f>
        <v>0.07</v>
      </c>
      <c r="H7" s="163"/>
      <c r="I7" s="320">
        <f>IF(I8="","",SUM(I6*I8))</f>
        <v>0.11</v>
      </c>
      <c r="J7" s="163"/>
      <c r="K7" s="320">
        <f>IF(K8="","",SUM(K6*K8))</f>
        <v>0.06</v>
      </c>
      <c r="L7" s="163"/>
      <c r="M7" s="133"/>
      <c r="N7" s="133"/>
      <c r="O7" s="309" t="s">
        <v>202</v>
      </c>
      <c r="P7" s="306">
        <f>STAMMDATEN!F21</f>
        <v>0</v>
      </c>
      <c r="Q7" s="123">
        <f>IF(Q5="","",SUM(Q6*(1+P7)))</f>
      </c>
      <c r="R7" s="124">
        <f>IF(R5="","",SUM(R6*(1+P7)))</f>
      </c>
      <c r="S7" s="141"/>
      <c r="T7" s="141"/>
      <c r="U7" s="617"/>
      <c r="X7" s="617"/>
      <c r="CS7" s="4"/>
    </row>
    <row r="8" spans="1:97" ht="26.25" customHeight="1">
      <c r="A8" s="405">
        <f>STAMMDATEN!F20</f>
        <v>0.16</v>
      </c>
      <c r="B8" s="622">
        <f>STAMMDATEN!H20</f>
        <v>35886</v>
      </c>
      <c r="C8" s="623"/>
      <c r="D8" s="153" t="s">
        <v>145</v>
      </c>
      <c r="E8" s="29">
        <f>STAMMDATEN!O16</f>
        <v>0.03</v>
      </c>
      <c r="F8" s="255" t="s">
        <v>180</v>
      </c>
      <c r="G8" s="29">
        <f>STAMMDATEN!P16</f>
        <v>0.07</v>
      </c>
      <c r="H8" s="254" t="s">
        <v>25</v>
      </c>
      <c r="I8" s="29">
        <f>STAMMDATEN!Q16</f>
        <v>0.11</v>
      </c>
      <c r="J8" s="255" t="s">
        <v>203</v>
      </c>
      <c r="K8" s="29">
        <f>STAMMDATEN!R16</f>
        <v>0.06</v>
      </c>
      <c r="L8" s="255" t="s">
        <v>204</v>
      </c>
      <c r="M8" s="204"/>
      <c r="N8" s="204"/>
      <c r="O8" s="598" t="s">
        <v>183</v>
      </c>
      <c r="P8" s="599"/>
      <c r="Q8" s="624" t="s">
        <v>184</v>
      </c>
      <c r="R8" s="624"/>
      <c r="S8" s="342"/>
      <c r="T8" s="138"/>
      <c r="U8" s="617"/>
      <c r="X8" s="617"/>
      <c r="CS8" s="4"/>
    </row>
    <row r="9" spans="1:97" ht="12.75">
      <c r="A9" s="273" t="s">
        <v>162</v>
      </c>
      <c r="B9" s="166"/>
      <c r="C9" s="30" t="s">
        <v>50</v>
      </c>
      <c r="D9" s="409">
        <f>SUM(E9,G9,I9,K9)</f>
        <v>4</v>
      </c>
      <c r="E9" s="138">
        <f>IF(E8="","",1)</f>
        <v>1</v>
      </c>
      <c r="F9" s="128"/>
      <c r="G9" s="138">
        <f>IF(G8="","",1)</f>
        <v>1</v>
      </c>
      <c r="H9" s="128"/>
      <c r="I9" s="138">
        <f>IF(I8="","",1)</f>
        <v>1</v>
      </c>
      <c r="J9" s="128"/>
      <c r="K9" s="138">
        <f>IF(K8="","",1)</f>
        <v>1</v>
      </c>
      <c r="L9" s="138"/>
      <c r="M9" s="177" t="s">
        <v>68</v>
      </c>
      <c r="N9" s="209" t="s">
        <v>6</v>
      </c>
      <c r="O9" s="177" t="s">
        <v>68</v>
      </c>
      <c r="P9" s="209" t="s">
        <v>6</v>
      </c>
      <c r="Q9" s="177" t="s">
        <v>68</v>
      </c>
      <c r="R9" s="209" t="s">
        <v>6</v>
      </c>
      <c r="S9" s="342"/>
      <c r="T9" s="168" t="str">
        <f ca="1">CELL("dateiname")</f>
        <v>D:\HOAI\aktuell16\[DEM§16_6.xls]BITTE LESEN !</v>
      </c>
      <c r="U9" s="617"/>
      <c r="X9" s="617"/>
      <c r="Y9" s="389" t="s">
        <v>237</v>
      </c>
      <c r="CS9" s="4"/>
    </row>
    <row r="10" spans="1:97" ht="12.75" customHeight="1">
      <c r="A10" s="273" t="s">
        <v>161</v>
      </c>
      <c r="B10" s="166"/>
      <c r="C10" s="30" t="s">
        <v>69</v>
      </c>
      <c r="D10" s="30" t="s">
        <v>51</v>
      </c>
      <c r="E10" s="346"/>
      <c r="F10" s="43"/>
      <c r="G10" s="30"/>
      <c r="H10" s="338"/>
      <c r="I10" s="346"/>
      <c r="J10" s="43"/>
      <c r="K10" s="43"/>
      <c r="L10" s="43"/>
      <c r="M10" s="597" t="s">
        <v>153</v>
      </c>
      <c r="N10" s="597"/>
      <c r="O10" s="203">
        <f>P6</f>
        <v>0.2</v>
      </c>
      <c r="P10" s="203">
        <f>P6</f>
        <v>0.2</v>
      </c>
      <c r="Q10" s="200">
        <f>P7</f>
        <v>0</v>
      </c>
      <c r="R10" s="200">
        <f>P7</f>
        <v>0</v>
      </c>
      <c r="S10" s="550" t="s">
        <v>154</v>
      </c>
      <c r="T10" s="138" t="s">
        <v>157</v>
      </c>
      <c r="U10" s="617"/>
      <c r="V10" s="222" t="s">
        <v>32</v>
      </c>
      <c r="W10" s="421" t="s">
        <v>224</v>
      </c>
      <c r="X10" s="617"/>
      <c r="Y10" s="389" t="s">
        <v>231</v>
      </c>
      <c r="CS10" s="4"/>
    </row>
    <row r="11" spans="1:97" ht="12.75" customHeight="1">
      <c r="A11" s="406" t="str">
        <f aca="true" t="shared" si="0" ref="A11:A22">IF(C11="","",IF($Q$2=0,$R$1,IF($R$2&lt;=D11,$R$1,$Q$1)))</f>
        <v>B</v>
      </c>
      <c r="B11" s="33">
        <f>IF(C11="","",IF(SUM(E11,G11,I11)=0,"",IF($B$8&lt;=D11,$A$8,$A$7)))</f>
        <v>0.16</v>
      </c>
      <c r="C11" s="134">
        <f>STAMMDATEN!L20</f>
        <v>1</v>
      </c>
      <c r="D11" s="129">
        <f>IF(C11="","",STAMMDATEN!N20)</f>
        <v>35920</v>
      </c>
      <c r="E11" s="131">
        <f>IF($E$6="","",IF($C11="","",IF(STAMMDATEN!O20="",E10,STAMMDATEN!O20)))</f>
        <v>0.2</v>
      </c>
      <c r="F11" s="132">
        <f>IF($F$3=0,"",IF(E11="","",IF($C11=0,"",IF($R$5="",(F$4*E11),IF($Q$5="",(F$5*E11),IF($D11&gt;=$R$2,(F$5*E11),(F$4*E11)))))))</f>
      </c>
      <c r="G11" s="11">
        <f>IF($G$6="","",IF($C11="","",IF(STAMMDATEN!P20="",G10,STAMMDATEN!P20)))</f>
        <v>0.2</v>
      </c>
      <c r="H11" s="130">
        <f aca="true" t="shared" si="1" ref="H11:H30">IF($F$3=0,"",IF(G11="","",IF($C11=0,"",IF($R$3="",(H$4*G11),IF($Q$3="",(H$5*G11),IF($D11&gt;=$R$2,(H$5*G11),(H$4*G11)))))))</f>
      </c>
      <c r="I11" s="131">
        <f>IF($I$6="","",IF($C11="","",IF(STAMMDATEN!Q20="",I10,STAMMDATEN!Q20)))</f>
        <v>0.2</v>
      </c>
      <c r="J11" s="132">
        <f aca="true" t="shared" si="2" ref="J11:J30">IF($F$3=0,"",IF(I11="","",IF($C11=0,"",IF($R$3="",(J$4*I11),IF($Q$3="",(J$5*I11),IF($D11&gt;=$R$2,(J$5*I11),(J$4*I11)))))))</f>
      </c>
      <c r="K11" s="11">
        <f>IF($K$6="","",IF($C11="","",IF(STAMMDATEN!R20="",K10,STAMMDATEN!R20)))</f>
        <v>0.2</v>
      </c>
      <c r="L11" s="130">
        <f aca="true" t="shared" si="3" ref="L11:L30">IF($F$3=0,"",IF(K11="","",IF($C11=0,"",IF($R$3="",(L$4*K11),IF($Q$3="",(L$5*K11),IF($D11&gt;=$R$2,(L$5*K11),(L$4*K11)))))))</f>
      </c>
      <c r="M11" s="132">
        <f>IF($A11=$C$4,SUM($F11,$H11,$J11,$L11),"")</f>
      </c>
      <c r="N11" s="132">
        <f>IF($A11=$C$5,SUM($F11,$H11,$J11,$L11),"")</f>
        <v>0</v>
      </c>
      <c r="O11" s="130">
        <f>IF($A11=$C$4,SUM(M11:N11)*O$10,"")</f>
      </c>
      <c r="P11" s="130">
        <f>IF($A11=$C$5,SUM(M11:N11)*O$10,"")</f>
        <v>0</v>
      </c>
      <c r="Q11" s="132">
        <f>IF($A11=$C$4,SUM(M11:P11)*Q$10,"")</f>
      </c>
      <c r="R11" s="132">
        <f>IF($A11=$C$5,SUM(M11:P11)*R$10,"")</f>
        <v>0</v>
      </c>
      <c r="S11" s="132">
        <f>SUM(M11:R11)</f>
        <v>0</v>
      </c>
      <c r="T11" s="387" t="s">
        <v>213</v>
      </c>
      <c r="U11" s="138"/>
      <c r="V11" s="378">
        <f aca="true" t="shared" si="4" ref="V11:V30">IF($B11="","",($B11*SUM(S11:S11)))</f>
        <v>0</v>
      </c>
      <c r="W11" s="422"/>
      <c r="X11" s="414"/>
      <c r="Y11" s="389" t="s">
        <v>230</v>
      </c>
      <c r="CS11" s="4"/>
    </row>
    <row r="12" spans="1:97" ht="12.75">
      <c r="A12" s="406" t="str">
        <f t="shared" si="0"/>
        <v>B</v>
      </c>
      <c r="B12" s="33">
        <f aca="true" t="shared" si="5" ref="B12:B30">IF(C12="","",IF(SUM(E12,G12,I12,K12)=0,"",IF(SUM(E11,G11,I11,K11)/$M$38=1,B11,IF($B$8&lt;=D12,$A$8,$A$7))))</f>
        <v>0.16</v>
      </c>
      <c r="C12" s="134">
        <f>STAMMDATEN!L21</f>
        <v>2</v>
      </c>
      <c r="D12" s="129">
        <f>IF(C12="","",IF(SUM(E11,G11,I11,K11)/$D$9=1,D11,STAMMDATEN!N21))</f>
        <v>35921</v>
      </c>
      <c r="E12" s="131">
        <f>IF($E$6="","",IF($C12="","",IF(STAMMDATEN!O21="",E11,STAMMDATEN!O21)))</f>
        <v>0.3</v>
      </c>
      <c r="F12" s="132">
        <f aca="true" t="shared" si="6" ref="F12:F30">IF($F$3=0,"",IF(E12="","",IF($C12=0,"",IF($R$3="",(F$4*E12),IF($Q$3="",(F$5*E12),IF($D12&gt;=$R$2,(F$5*E12),(F$4*E12)))))))</f>
      </c>
      <c r="G12" s="11">
        <f>IF($G$6="","",IF($C12="","",IF(STAMMDATEN!P21="",G11,STAMMDATEN!P21)))</f>
        <v>0.3</v>
      </c>
      <c r="H12" s="130">
        <f t="shared" si="1"/>
      </c>
      <c r="I12" s="131">
        <f>IF($I$6="","",IF($C12="","",IF(STAMMDATEN!Q21="",I11,STAMMDATEN!Q21)))</f>
        <v>0.3</v>
      </c>
      <c r="J12" s="132">
        <f t="shared" si="2"/>
      </c>
      <c r="K12" s="11">
        <f>IF($K$6="","",IF($C12="","",IF(STAMMDATEN!R21="",K11,STAMMDATEN!R21)))</f>
        <v>0.3</v>
      </c>
      <c r="L12" s="130">
        <f t="shared" si="3"/>
      </c>
      <c r="M12" s="132">
        <f aca="true" t="shared" si="7" ref="M12:M30">IF(A12=$C$4,SUM($F12,$H12,$J12,$L12),"")</f>
      </c>
      <c r="N12" s="132">
        <f aca="true" t="shared" si="8" ref="N12:N30">IF(A12=$C$5,SUM($F12,$H12,$J12,$L12),"")</f>
        <v>0</v>
      </c>
      <c r="O12" s="130">
        <f aca="true" t="shared" si="9" ref="O12:O30">IF($A12=$C$4,SUM(M12:N12)*$O$10,"")</f>
      </c>
      <c r="P12" s="130">
        <f aca="true" t="shared" si="10" ref="P12:P30">IF($A12=$C$5,SUM(M12:N12)*O$10,"")</f>
        <v>0</v>
      </c>
      <c r="Q12" s="132">
        <f aca="true" t="shared" si="11" ref="Q12:Q30">IF($A12=$C$4,SUM(M12:P12)*$Q$10,"")</f>
      </c>
      <c r="R12" s="132">
        <f aca="true" t="shared" si="12" ref="R12:R30">IF($A12=$C$5,SUM(M12:P12)*$R$10,"")</f>
        <v>0</v>
      </c>
      <c r="S12" s="132">
        <f aca="true" t="shared" si="13" ref="S12:S30">SUM(M12:R12)</f>
        <v>0</v>
      </c>
      <c r="T12" s="132">
        <f>IF($C12="","",S11)</f>
        <v>0</v>
      </c>
      <c r="U12" s="138">
        <f>IF($B12="","",IF(SUM($E11,$G11,$I11,$K11)/$D$9=1,"",IF(SUM($E12,$G12,$I12,$K12)/$D$9=1,1,"")))</f>
      </c>
      <c r="V12" s="378">
        <f t="shared" si="4"/>
        <v>0</v>
      </c>
      <c r="W12" s="423">
        <f aca="true" t="shared" si="14" ref="W12:W29">IF($B12="","",IF(V11="","",IF($C12=$C11,"",IF(SUM($E11,$G11,$I11,$K11)/$D$9=1,"",SUM($B12-$B11)*SUM(S11:S11)))))</f>
        <v>0</v>
      </c>
      <c r="X12" s="381">
        <f>IF($B12="","",IF($B11="","",IF($B11=$A$8,"",IF($B12=$B11,"",$C12))))</f>
      </c>
      <c r="Y12" s="221">
        <f>IF(X12=$C12,$D12,"")</f>
      </c>
      <c r="CS12" s="4"/>
    </row>
    <row r="13" spans="1:97" ht="12.75">
      <c r="A13" s="406">
        <f t="shared" si="0"/>
      </c>
      <c r="B13" s="33">
        <f t="shared" si="5"/>
      </c>
      <c r="C13" s="134">
        <f>STAMMDATEN!L22</f>
      </c>
      <c r="D13" s="129">
        <f>IF(C13="","",IF(SUM(E12,G12,I12,K12)/$D$9=1,D12,STAMMDATEN!N22))</f>
      </c>
      <c r="E13" s="131">
        <f>IF($E$6="","",IF($C13="","",IF(STAMMDATEN!O22="",E12,STAMMDATEN!O22)))</f>
      </c>
      <c r="F13" s="132">
        <f t="shared" si="6"/>
      </c>
      <c r="G13" s="11">
        <f>IF($G$6="","",IF($C13="","",IF(STAMMDATEN!P22="",G12,STAMMDATEN!P22)))</f>
      </c>
      <c r="H13" s="130">
        <f t="shared" si="1"/>
      </c>
      <c r="I13" s="131">
        <f>IF($I$6="","",IF($C13="","",IF(STAMMDATEN!Q22="",I12,STAMMDATEN!Q22)))</f>
      </c>
      <c r="J13" s="132">
        <f t="shared" si="2"/>
      </c>
      <c r="K13" s="11">
        <f>IF($K$6="","",IF($C13="","",IF(STAMMDATEN!R22="",K12,STAMMDATEN!R22)))</f>
      </c>
      <c r="L13" s="130">
        <f t="shared" si="3"/>
      </c>
      <c r="M13" s="132">
        <f t="shared" si="7"/>
      </c>
      <c r="N13" s="132">
        <f t="shared" si="8"/>
      </c>
      <c r="O13" s="130">
        <f t="shared" si="9"/>
      </c>
      <c r="P13" s="130">
        <f t="shared" si="10"/>
      </c>
      <c r="Q13" s="132">
        <f t="shared" si="11"/>
      </c>
      <c r="R13" s="132">
        <f t="shared" si="12"/>
      </c>
      <c r="S13" s="132">
        <f t="shared" si="13"/>
        <v>0</v>
      </c>
      <c r="T13" s="132">
        <f>IF($C13="","",MAX($S$11:S12))</f>
      </c>
      <c r="U13" s="138">
        <f aca="true" t="shared" si="15" ref="U13:U30">IF($B13="","",IF(SUM($E12,$G12,$I12,$K12)/$D$9=1,"",IF(SUM($E13,$G13,$I13,$K13)/$D$9=1,1,"")))</f>
      </c>
      <c r="V13" s="378">
        <f t="shared" si="4"/>
      </c>
      <c r="W13" s="423">
        <f t="shared" si="14"/>
      </c>
      <c r="X13" s="381">
        <f aca="true" t="shared" si="16" ref="X13:X30">IF($B13="","",IF($B12="","",IF($B12=$A$8,"",IF($B13=$B12,"",$C13))))</f>
      </c>
      <c r="Y13" s="221">
        <f aca="true" t="shared" si="17" ref="Y13:Y30">IF(X13=C13,D13,"")</f>
      </c>
      <c r="CS13" s="4"/>
    </row>
    <row r="14" spans="1:97" ht="12.75">
      <c r="A14" s="406">
        <f t="shared" si="0"/>
      </c>
      <c r="B14" s="33">
        <f t="shared" si="5"/>
      </c>
      <c r="C14" s="134">
        <f>STAMMDATEN!L23</f>
      </c>
      <c r="D14" s="129">
        <f>IF(C14="","",IF(SUM(E13,G13,I13,K13)/$D$9=1,D13,STAMMDATEN!N23))</f>
      </c>
      <c r="E14" s="131">
        <f>IF($E$6="","",IF($C14="","",IF(STAMMDATEN!O23="",E13,STAMMDATEN!O23)))</f>
      </c>
      <c r="F14" s="132">
        <f t="shared" si="6"/>
      </c>
      <c r="G14" s="11">
        <f>IF($G$6="","",IF($C14="","",IF(STAMMDATEN!P23="",G13,STAMMDATEN!P23)))</f>
      </c>
      <c r="H14" s="130">
        <f t="shared" si="1"/>
      </c>
      <c r="I14" s="131">
        <f>IF($I$6="","",IF($C14="","",IF(STAMMDATEN!Q23="",I13,STAMMDATEN!Q23)))</f>
      </c>
      <c r="J14" s="132">
        <f t="shared" si="2"/>
      </c>
      <c r="K14" s="11">
        <f>IF($K$6="","",IF($C14="","",IF(STAMMDATEN!R23="",K13,STAMMDATEN!R23)))</f>
      </c>
      <c r="L14" s="130">
        <f t="shared" si="3"/>
      </c>
      <c r="M14" s="132">
        <f t="shared" si="7"/>
      </c>
      <c r="N14" s="132">
        <f t="shared" si="8"/>
      </c>
      <c r="O14" s="130">
        <f t="shared" si="9"/>
      </c>
      <c r="P14" s="130">
        <f t="shared" si="10"/>
      </c>
      <c r="Q14" s="132">
        <f t="shared" si="11"/>
      </c>
      <c r="R14" s="132">
        <f t="shared" si="12"/>
      </c>
      <c r="S14" s="132">
        <f t="shared" si="13"/>
        <v>0</v>
      </c>
      <c r="T14" s="132">
        <f>IF($C14="","",MAX($S$11:S13))</f>
      </c>
      <c r="U14" s="138">
        <f t="shared" si="15"/>
      </c>
      <c r="V14" s="378">
        <f t="shared" si="4"/>
      </c>
      <c r="W14" s="423">
        <f t="shared" si="14"/>
      </c>
      <c r="X14" s="381">
        <f t="shared" si="16"/>
      </c>
      <c r="Y14" s="221">
        <f t="shared" si="17"/>
      </c>
      <c r="CS14" s="4"/>
    </row>
    <row r="15" spans="1:97" ht="12.75">
      <c r="A15" s="406">
        <f t="shared" si="0"/>
      </c>
      <c r="B15" s="33">
        <f t="shared" si="5"/>
      </c>
      <c r="C15" s="134">
        <f>STAMMDATEN!L24</f>
      </c>
      <c r="D15" s="129">
        <f>IF(C15="","",IF(SUM(E14,G14,I14,K14)/$D$9=1,D14,STAMMDATEN!N24))</f>
      </c>
      <c r="E15" s="131">
        <f>IF($E$6="","",IF($C15="","",IF(STAMMDATEN!O24="",E14,STAMMDATEN!O24)))</f>
      </c>
      <c r="F15" s="132">
        <f t="shared" si="6"/>
      </c>
      <c r="G15" s="11">
        <f>IF($G$6="","",IF($C15="","",IF(STAMMDATEN!P24="",G14,STAMMDATEN!P24)))</f>
      </c>
      <c r="H15" s="130">
        <f t="shared" si="1"/>
      </c>
      <c r="I15" s="131">
        <f>IF($I$6="","",IF($C15="","",IF(STAMMDATEN!Q24="",I14,STAMMDATEN!Q24)))</f>
      </c>
      <c r="J15" s="132">
        <f t="shared" si="2"/>
      </c>
      <c r="K15" s="11">
        <f>IF($K$6="","",IF($C15="","",IF(STAMMDATEN!R24="",K14,STAMMDATEN!R24)))</f>
      </c>
      <c r="L15" s="130">
        <f t="shared" si="3"/>
      </c>
      <c r="M15" s="132">
        <f t="shared" si="7"/>
      </c>
      <c r="N15" s="132">
        <f t="shared" si="8"/>
      </c>
      <c r="O15" s="130">
        <f t="shared" si="9"/>
      </c>
      <c r="P15" s="130">
        <f t="shared" si="10"/>
      </c>
      <c r="Q15" s="132">
        <f t="shared" si="11"/>
      </c>
      <c r="R15" s="132">
        <f t="shared" si="12"/>
      </c>
      <c r="S15" s="132">
        <f t="shared" si="13"/>
        <v>0</v>
      </c>
      <c r="T15" s="132">
        <f>IF($C15="","",MAX($S$11:S14))</f>
      </c>
      <c r="U15" s="138">
        <f t="shared" si="15"/>
      </c>
      <c r="V15" s="378">
        <f t="shared" si="4"/>
      </c>
      <c r="W15" s="423">
        <f t="shared" si="14"/>
      </c>
      <c r="X15" s="381">
        <f t="shared" si="16"/>
      </c>
      <c r="Y15" s="221">
        <f t="shared" si="17"/>
      </c>
      <c r="CS15" s="4"/>
    </row>
    <row r="16" spans="1:97" ht="12.75">
      <c r="A16" s="406">
        <f t="shared" si="0"/>
      </c>
      <c r="B16" s="33">
        <f t="shared" si="5"/>
      </c>
      <c r="C16" s="134">
        <f>STAMMDATEN!L25</f>
      </c>
      <c r="D16" s="129">
        <f>IF(C16="","",IF(SUM(E15,G15,I15,K15)/$D$9=1,D15,STAMMDATEN!N25))</f>
      </c>
      <c r="E16" s="131">
        <f>IF($E$6="","",IF($C16="","",IF(STAMMDATEN!O25="",E15,STAMMDATEN!O25)))</f>
      </c>
      <c r="F16" s="132">
        <f t="shared" si="6"/>
      </c>
      <c r="G16" s="11">
        <f>IF($G$6="","",IF($C16="","",IF(STAMMDATEN!P25="",G15,STAMMDATEN!P25)))</f>
      </c>
      <c r="H16" s="130">
        <f t="shared" si="1"/>
      </c>
      <c r="I16" s="131">
        <f>IF($I$6="","",IF($C16="","",IF(STAMMDATEN!Q25="",I15,STAMMDATEN!Q25)))</f>
      </c>
      <c r="J16" s="132">
        <f t="shared" si="2"/>
      </c>
      <c r="K16" s="11">
        <f>IF($K$6="","",IF($C16="","",IF(STAMMDATEN!R25="",K15,STAMMDATEN!R25)))</f>
      </c>
      <c r="L16" s="130">
        <f t="shared" si="3"/>
      </c>
      <c r="M16" s="132">
        <f t="shared" si="7"/>
      </c>
      <c r="N16" s="132">
        <f t="shared" si="8"/>
      </c>
      <c r="O16" s="130">
        <f t="shared" si="9"/>
      </c>
      <c r="P16" s="130">
        <f t="shared" si="10"/>
      </c>
      <c r="Q16" s="132">
        <f t="shared" si="11"/>
      </c>
      <c r="R16" s="132">
        <f t="shared" si="12"/>
      </c>
      <c r="S16" s="132">
        <f t="shared" si="13"/>
        <v>0</v>
      </c>
      <c r="T16" s="132">
        <f>IF($C16="","",MAX($S$11:S15))</f>
      </c>
      <c r="U16" s="138">
        <f t="shared" si="15"/>
      </c>
      <c r="V16" s="378">
        <f t="shared" si="4"/>
      </c>
      <c r="W16" s="423">
        <f t="shared" si="14"/>
      </c>
      <c r="X16" s="381">
        <f t="shared" si="16"/>
      </c>
      <c r="Y16" s="221">
        <f t="shared" si="17"/>
      </c>
      <c r="CS16" s="4"/>
    </row>
    <row r="17" spans="1:97" ht="12.75">
      <c r="A17" s="406">
        <f t="shared" si="0"/>
      </c>
      <c r="B17" s="33">
        <f t="shared" si="5"/>
      </c>
      <c r="C17" s="134">
        <f>STAMMDATEN!L26</f>
      </c>
      <c r="D17" s="129">
        <f>IF(C17="","",IF(SUM(E16,G16,I16,K16)/$D$9=1,D16,STAMMDATEN!N26))</f>
      </c>
      <c r="E17" s="131">
        <f>IF($E$6="","",IF($C17="","",IF(STAMMDATEN!O26="",E16,STAMMDATEN!O26)))</f>
      </c>
      <c r="F17" s="132">
        <f t="shared" si="6"/>
      </c>
      <c r="G17" s="11">
        <f>IF($G$6="","",IF($C17="","",IF(STAMMDATEN!P26="",G16,STAMMDATEN!P26)))</f>
      </c>
      <c r="H17" s="130">
        <f t="shared" si="1"/>
      </c>
      <c r="I17" s="131">
        <f>IF($I$6="","",IF($C17="","",IF(STAMMDATEN!Q26="",I16,STAMMDATEN!Q26)))</f>
      </c>
      <c r="J17" s="132">
        <f t="shared" si="2"/>
      </c>
      <c r="K17" s="11">
        <f>IF($K$6="","",IF($C17="","",IF(STAMMDATEN!R26="",K16,STAMMDATEN!R26)))</f>
      </c>
      <c r="L17" s="130">
        <f t="shared" si="3"/>
      </c>
      <c r="M17" s="132">
        <f t="shared" si="7"/>
      </c>
      <c r="N17" s="132">
        <f t="shared" si="8"/>
      </c>
      <c r="O17" s="130">
        <f t="shared" si="9"/>
      </c>
      <c r="P17" s="130">
        <f t="shared" si="10"/>
      </c>
      <c r="Q17" s="132">
        <f t="shared" si="11"/>
      </c>
      <c r="R17" s="132">
        <f t="shared" si="12"/>
      </c>
      <c r="S17" s="132">
        <f t="shared" si="13"/>
        <v>0</v>
      </c>
      <c r="T17" s="132">
        <f>IF($C17="","",MAX($S$11:S16))</f>
      </c>
      <c r="U17" s="138">
        <f t="shared" si="15"/>
      </c>
      <c r="V17" s="378">
        <f t="shared" si="4"/>
      </c>
      <c r="W17" s="423">
        <f t="shared" si="14"/>
      </c>
      <c r="X17" s="381">
        <f t="shared" si="16"/>
      </c>
      <c r="Y17" s="221">
        <f t="shared" si="17"/>
      </c>
      <c r="CS17" s="4"/>
    </row>
    <row r="18" spans="1:97" ht="12.75">
      <c r="A18" s="406">
        <f t="shared" si="0"/>
      </c>
      <c r="B18" s="33">
        <f t="shared" si="5"/>
      </c>
      <c r="C18" s="134">
        <f>STAMMDATEN!L27</f>
      </c>
      <c r="D18" s="129">
        <f>IF(C18="","",IF(SUM(E17,G17,I17,K17)/$D$9=1,D17,STAMMDATEN!N27))</f>
      </c>
      <c r="E18" s="131">
        <f>IF($E$6="","",IF($C18="","",IF(STAMMDATEN!O27="",E17,STAMMDATEN!O27)))</f>
      </c>
      <c r="F18" s="132">
        <f t="shared" si="6"/>
      </c>
      <c r="G18" s="11">
        <f>IF($G$6="","",IF($C18="","",IF(STAMMDATEN!P27="",G17,STAMMDATEN!P27)))</f>
      </c>
      <c r="H18" s="130">
        <f t="shared" si="1"/>
      </c>
      <c r="I18" s="131">
        <f>IF($I$6="","",IF($C18="","",IF(STAMMDATEN!Q27="",I17,STAMMDATEN!Q27)))</f>
      </c>
      <c r="J18" s="132">
        <f t="shared" si="2"/>
      </c>
      <c r="K18" s="11">
        <f>IF($K$6="","",IF($C18="","",IF(STAMMDATEN!R27="",K17,STAMMDATEN!R27)))</f>
      </c>
      <c r="L18" s="130">
        <f t="shared" si="3"/>
      </c>
      <c r="M18" s="132">
        <f t="shared" si="7"/>
      </c>
      <c r="N18" s="132">
        <f t="shared" si="8"/>
      </c>
      <c r="O18" s="130">
        <f t="shared" si="9"/>
      </c>
      <c r="P18" s="130">
        <f t="shared" si="10"/>
      </c>
      <c r="Q18" s="132">
        <f t="shared" si="11"/>
      </c>
      <c r="R18" s="132">
        <f t="shared" si="12"/>
      </c>
      <c r="S18" s="132">
        <f t="shared" si="13"/>
        <v>0</v>
      </c>
      <c r="T18" s="132">
        <f>IF($C18="","",MAX($S$11:S17))</f>
      </c>
      <c r="U18" s="138">
        <f t="shared" si="15"/>
      </c>
      <c r="V18" s="378">
        <f t="shared" si="4"/>
      </c>
      <c r="W18" s="423">
        <f t="shared" si="14"/>
      </c>
      <c r="X18" s="381">
        <f t="shared" si="16"/>
      </c>
      <c r="Y18" s="221">
        <f t="shared" si="17"/>
      </c>
      <c r="CS18" s="4"/>
    </row>
    <row r="19" spans="1:97" ht="12.75">
      <c r="A19" s="406">
        <f t="shared" si="0"/>
      </c>
      <c r="B19" s="33">
        <f t="shared" si="5"/>
      </c>
      <c r="C19" s="134">
        <f>STAMMDATEN!L28</f>
      </c>
      <c r="D19" s="129">
        <f>IF(C19="","",IF(SUM(E18,G18,I18,K18)/$D$9=1,D18,STAMMDATEN!N28))</f>
      </c>
      <c r="E19" s="131">
        <f>IF($E$6="","",IF($C19="","",IF(STAMMDATEN!O28="",E18,STAMMDATEN!O28)))</f>
      </c>
      <c r="F19" s="132">
        <f t="shared" si="6"/>
      </c>
      <c r="G19" s="11">
        <f>IF($G$6="","",IF($C19="","",IF(STAMMDATEN!P28="",G18,STAMMDATEN!P28)))</f>
      </c>
      <c r="H19" s="130">
        <f t="shared" si="1"/>
      </c>
      <c r="I19" s="131">
        <f>IF($I$6="","",IF($C19="","",IF(STAMMDATEN!Q28="",I18,STAMMDATEN!Q28)))</f>
      </c>
      <c r="J19" s="132">
        <f t="shared" si="2"/>
      </c>
      <c r="K19" s="11">
        <f>IF($K$6="","",IF($C19="","",IF(STAMMDATEN!R28="",K18,STAMMDATEN!R28)))</f>
      </c>
      <c r="L19" s="130">
        <f t="shared" si="3"/>
      </c>
      <c r="M19" s="132">
        <f t="shared" si="7"/>
      </c>
      <c r="N19" s="132">
        <f t="shared" si="8"/>
      </c>
      <c r="O19" s="130">
        <f t="shared" si="9"/>
      </c>
      <c r="P19" s="130">
        <f t="shared" si="10"/>
      </c>
      <c r="Q19" s="132">
        <f t="shared" si="11"/>
      </c>
      <c r="R19" s="132">
        <f t="shared" si="12"/>
      </c>
      <c r="S19" s="132">
        <f t="shared" si="13"/>
        <v>0</v>
      </c>
      <c r="T19" s="132">
        <f>IF($C19="","",MAX($S$11:S18))</f>
      </c>
      <c r="U19" s="138">
        <f t="shared" si="15"/>
      </c>
      <c r="V19" s="378">
        <f t="shared" si="4"/>
      </c>
      <c r="W19" s="423">
        <f t="shared" si="14"/>
      </c>
      <c r="X19" s="381">
        <f t="shared" si="16"/>
      </c>
      <c r="Y19" s="221">
        <f t="shared" si="17"/>
      </c>
      <c r="CS19" s="4"/>
    </row>
    <row r="20" spans="1:97" ht="12.75">
      <c r="A20" s="406">
        <f t="shared" si="0"/>
      </c>
      <c r="B20" s="33">
        <f t="shared" si="5"/>
      </c>
      <c r="C20" s="134">
        <f>STAMMDATEN!L29</f>
      </c>
      <c r="D20" s="129">
        <f>IF(C20="","",IF(SUM(E19,G19,I19,K19)/$D$9=1,D19,STAMMDATEN!N29))</f>
      </c>
      <c r="E20" s="131">
        <f>IF($E$6="","",IF($C20="","",IF(STAMMDATEN!O29="",E19,STAMMDATEN!O29)))</f>
      </c>
      <c r="F20" s="132">
        <f t="shared" si="6"/>
      </c>
      <c r="G20" s="11">
        <f>IF($G$6="","",IF($C20="","",IF(STAMMDATEN!P29="",G19,STAMMDATEN!P29)))</f>
      </c>
      <c r="H20" s="130">
        <f t="shared" si="1"/>
      </c>
      <c r="I20" s="131">
        <f>IF($I$6="","",IF($C20="","",IF(STAMMDATEN!Q29="",I19,STAMMDATEN!Q29)))</f>
      </c>
      <c r="J20" s="132">
        <f t="shared" si="2"/>
      </c>
      <c r="K20" s="11">
        <f>IF($K$6="","",IF($C20="","",IF(STAMMDATEN!R29="",K19,STAMMDATEN!R29)))</f>
      </c>
      <c r="L20" s="130">
        <f t="shared" si="3"/>
      </c>
      <c r="M20" s="132">
        <f t="shared" si="7"/>
      </c>
      <c r="N20" s="132">
        <f t="shared" si="8"/>
      </c>
      <c r="O20" s="130">
        <f t="shared" si="9"/>
      </c>
      <c r="P20" s="130">
        <f t="shared" si="10"/>
      </c>
      <c r="Q20" s="132">
        <f t="shared" si="11"/>
      </c>
      <c r="R20" s="132">
        <f t="shared" si="12"/>
      </c>
      <c r="S20" s="132">
        <f t="shared" si="13"/>
        <v>0</v>
      </c>
      <c r="T20" s="132">
        <f>IF($C20="","",MAX($S$11:S19))</f>
      </c>
      <c r="U20" s="138">
        <f t="shared" si="15"/>
      </c>
      <c r="V20" s="378">
        <f t="shared" si="4"/>
      </c>
      <c r="W20" s="423">
        <f t="shared" si="14"/>
      </c>
      <c r="X20" s="381">
        <f t="shared" si="16"/>
      </c>
      <c r="Y20" s="221">
        <f t="shared" si="17"/>
      </c>
      <c r="CS20" s="4"/>
    </row>
    <row r="21" spans="1:97" ht="12.75">
      <c r="A21" s="406">
        <f t="shared" si="0"/>
      </c>
      <c r="B21" s="33">
        <f t="shared" si="5"/>
      </c>
      <c r="C21" s="134">
        <f>STAMMDATEN!L30</f>
      </c>
      <c r="D21" s="129">
        <f>IF(C21="","",IF(SUM(E20,G20,I20,K20)/$D$9=1,D20,STAMMDATEN!N30))</f>
      </c>
      <c r="E21" s="131">
        <f>IF($E$6="","",IF($C21="","",IF(STAMMDATEN!O30="",E20,STAMMDATEN!O30)))</f>
      </c>
      <c r="F21" s="132">
        <f t="shared" si="6"/>
      </c>
      <c r="G21" s="11">
        <f>IF($G$6="","",IF($C21="","",IF(STAMMDATEN!P30="",G20,STAMMDATEN!P30)))</f>
      </c>
      <c r="H21" s="130">
        <f t="shared" si="1"/>
      </c>
      <c r="I21" s="131">
        <f>IF($I$6="","",IF($C21="","",IF(STAMMDATEN!Q30="",I20,STAMMDATEN!Q30)))</f>
      </c>
      <c r="J21" s="132">
        <f t="shared" si="2"/>
      </c>
      <c r="K21" s="11">
        <f>IF($K$6="","",IF($C21="","",IF(STAMMDATEN!R30="",K20,STAMMDATEN!R30)))</f>
      </c>
      <c r="L21" s="130">
        <f t="shared" si="3"/>
      </c>
      <c r="M21" s="132">
        <f t="shared" si="7"/>
      </c>
      <c r="N21" s="132">
        <f t="shared" si="8"/>
      </c>
      <c r="O21" s="130">
        <f t="shared" si="9"/>
      </c>
      <c r="P21" s="130">
        <f t="shared" si="10"/>
      </c>
      <c r="Q21" s="132">
        <f t="shared" si="11"/>
      </c>
      <c r="R21" s="132">
        <f t="shared" si="12"/>
      </c>
      <c r="S21" s="132">
        <f t="shared" si="13"/>
        <v>0</v>
      </c>
      <c r="T21" s="132">
        <f>IF($C21="","",MAX($S$11:S20))</f>
      </c>
      <c r="U21" s="138">
        <f t="shared" si="15"/>
      </c>
      <c r="V21" s="378">
        <f t="shared" si="4"/>
      </c>
      <c r="W21" s="423">
        <f t="shared" si="14"/>
      </c>
      <c r="X21" s="381">
        <f t="shared" si="16"/>
      </c>
      <c r="Y21" s="221">
        <f t="shared" si="17"/>
      </c>
      <c r="CS21" s="4"/>
    </row>
    <row r="22" spans="1:97" ht="12.75">
      <c r="A22" s="406">
        <f t="shared" si="0"/>
      </c>
      <c r="B22" s="33">
        <f t="shared" si="5"/>
      </c>
      <c r="C22" s="134">
        <f>STAMMDATEN!L31</f>
      </c>
      <c r="D22" s="129">
        <f>IF(C22="","",IF(SUM(E21,G21,I21,K21)/$D$9=1,D21,STAMMDATEN!N31))</f>
      </c>
      <c r="E22" s="131">
        <f>IF($E$6="","",IF($C22="","",IF(STAMMDATEN!O31="",E21,STAMMDATEN!O31)))</f>
      </c>
      <c r="F22" s="132">
        <f t="shared" si="6"/>
      </c>
      <c r="G22" s="11">
        <f>IF($G$6="","",IF($C22="","",IF(STAMMDATEN!P31="",G21,STAMMDATEN!P31)))</f>
      </c>
      <c r="H22" s="130">
        <f t="shared" si="1"/>
      </c>
      <c r="I22" s="131">
        <f>IF($I$6="","",IF($C22="","",IF(STAMMDATEN!Q31="",I21,STAMMDATEN!Q31)))</f>
      </c>
      <c r="J22" s="132">
        <f t="shared" si="2"/>
      </c>
      <c r="K22" s="11">
        <f>IF($K$6="","",IF($C22="","",IF(STAMMDATEN!R31="",K21,STAMMDATEN!R31)))</f>
      </c>
      <c r="L22" s="130">
        <f t="shared" si="3"/>
      </c>
      <c r="M22" s="132">
        <f t="shared" si="7"/>
      </c>
      <c r="N22" s="132">
        <f t="shared" si="8"/>
      </c>
      <c r="O22" s="130">
        <f t="shared" si="9"/>
      </c>
      <c r="P22" s="130">
        <f t="shared" si="10"/>
      </c>
      <c r="Q22" s="132">
        <f t="shared" si="11"/>
      </c>
      <c r="R22" s="132">
        <f t="shared" si="12"/>
      </c>
      <c r="S22" s="132">
        <f t="shared" si="13"/>
        <v>0</v>
      </c>
      <c r="T22" s="132">
        <f>IF($C22="","",MAX($S$11:S21))</f>
      </c>
      <c r="U22" s="138">
        <f t="shared" si="15"/>
      </c>
      <c r="V22" s="378">
        <f t="shared" si="4"/>
      </c>
      <c r="W22" s="423">
        <f t="shared" si="14"/>
      </c>
      <c r="X22" s="381">
        <f t="shared" si="16"/>
      </c>
      <c r="Y22" s="221">
        <f t="shared" si="17"/>
      </c>
      <c r="CS22" s="4"/>
    </row>
    <row r="23" spans="1:97" ht="12.75">
      <c r="A23" s="406">
        <f>IF(C23="","",IF($Q$2=0,$R$1,IF($R$2&lt;=D23,$R$1,$Q$1)))</f>
      </c>
      <c r="B23" s="33">
        <f t="shared" si="5"/>
      </c>
      <c r="C23" s="134">
        <f>STAMMDATEN!L32</f>
      </c>
      <c r="D23" s="129">
        <f>IF(C23="","",IF(SUM(E22,G22,I22,K22)/$D$9=1,D22,STAMMDATEN!N32))</f>
      </c>
      <c r="E23" s="131">
        <f>IF($E$6="","",IF($C23="","",IF(STAMMDATEN!O32="",E22,STAMMDATEN!O32)))</f>
      </c>
      <c r="F23" s="132">
        <f t="shared" si="6"/>
      </c>
      <c r="G23" s="11">
        <f>IF($G$6="","",IF($C23="","",IF(STAMMDATEN!P32="",G22,STAMMDATEN!P32)))</f>
      </c>
      <c r="H23" s="130">
        <f t="shared" si="1"/>
      </c>
      <c r="I23" s="131">
        <f>IF($I$6="","",IF($C23="","",IF(STAMMDATEN!Q32="",I22,STAMMDATEN!Q32)))</f>
      </c>
      <c r="J23" s="132">
        <f t="shared" si="2"/>
      </c>
      <c r="K23" s="11">
        <f>IF($K$6="","",IF($C23="","",IF(STAMMDATEN!R32="",K22,STAMMDATEN!R32)))</f>
      </c>
      <c r="L23" s="130">
        <f t="shared" si="3"/>
      </c>
      <c r="M23" s="132">
        <f t="shared" si="7"/>
      </c>
      <c r="N23" s="132">
        <f t="shared" si="8"/>
      </c>
      <c r="O23" s="130">
        <f t="shared" si="9"/>
      </c>
      <c r="P23" s="130">
        <f t="shared" si="10"/>
      </c>
      <c r="Q23" s="132">
        <f t="shared" si="11"/>
      </c>
      <c r="R23" s="132">
        <f t="shared" si="12"/>
      </c>
      <c r="S23" s="132">
        <f t="shared" si="13"/>
        <v>0</v>
      </c>
      <c r="T23" s="132">
        <f>IF($C23="","",MAX($S$11:S22))</f>
      </c>
      <c r="U23" s="138">
        <f t="shared" si="15"/>
      </c>
      <c r="V23" s="378">
        <f t="shared" si="4"/>
      </c>
      <c r="W23" s="423">
        <f t="shared" si="14"/>
      </c>
      <c r="X23" s="381">
        <f t="shared" si="16"/>
      </c>
      <c r="Y23" s="221">
        <f t="shared" si="17"/>
      </c>
      <c r="CS23" s="4"/>
    </row>
    <row r="24" spans="1:97" ht="12.75">
      <c r="A24" s="406">
        <f aca="true" t="shared" si="18" ref="A24:A30">IF(C24="","",IF($Q$2=0,$R$1,IF($R$2&lt;=D24,$R$1,$Q$1)))</f>
      </c>
      <c r="B24" s="33">
        <f t="shared" si="5"/>
      </c>
      <c r="C24" s="134">
        <f>STAMMDATEN!L33</f>
      </c>
      <c r="D24" s="129">
        <f>IF(C24="","",IF(SUM(E23,G23,I23,K23)/$D$9=1,D23,STAMMDATEN!N33))</f>
      </c>
      <c r="E24" s="131">
        <f>IF($E$6="","",IF($C24="","",IF(STAMMDATEN!O33="",E23,STAMMDATEN!O33)))</f>
      </c>
      <c r="F24" s="132">
        <f t="shared" si="6"/>
      </c>
      <c r="G24" s="11">
        <f>IF($G$6="","",IF($C24="","",IF(STAMMDATEN!P33="",G23,STAMMDATEN!P33)))</f>
      </c>
      <c r="H24" s="130">
        <f t="shared" si="1"/>
      </c>
      <c r="I24" s="131">
        <f>IF($I$6="","",IF($C24="","",IF(STAMMDATEN!Q33="",I23,STAMMDATEN!Q33)))</f>
      </c>
      <c r="J24" s="132">
        <f t="shared" si="2"/>
      </c>
      <c r="K24" s="11">
        <f>IF($K$6="","",IF($C24="","",IF(STAMMDATEN!R33="",K23,STAMMDATEN!R33)))</f>
      </c>
      <c r="L24" s="130">
        <f t="shared" si="3"/>
      </c>
      <c r="M24" s="132">
        <f t="shared" si="7"/>
      </c>
      <c r="N24" s="132">
        <f t="shared" si="8"/>
      </c>
      <c r="O24" s="130">
        <f t="shared" si="9"/>
      </c>
      <c r="P24" s="130">
        <f t="shared" si="10"/>
      </c>
      <c r="Q24" s="132">
        <f t="shared" si="11"/>
      </c>
      <c r="R24" s="132">
        <f t="shared" si="12"/>
      </c>
      <c r="S24" s="132">
        <f t="shared" si="13"/>
        <v>0</v>
      </c>
      <c r="T24" s="132">
        <f>IF($C24="","",MAX($S$11:S23))</f>
      </c>
      <c r="U24" s="138">
        <f t="shared" si="15"/>
      </c>
      <c r="V24" s="378">
        <f t="shared" si="4"/>
      </c>
      <c r="W24" s="423">
        <f t="shared" si="14"/>
      </c>
      <c r="X24" s="381">
        <f t="shared" si="16"/>
      </c>
      <c r="Y24" s="221">
        <f t="shared" si="17"/>
      </c>
      <c r="CS24" s="4"/>
    </row>
    <row r="25" spans="1:97" ht="12.75">
      <c r="A25" s="406">
        <f t="shared" si="18"/>
      </c>
      <c r="B25" s="33">
        <f t="shared" si="5"/>
      </c>
      <c r="C25" s="134">
        <f>STAMMDATEN!L34</f>
      </c>
      <c r="D25" s="129">
        <f>IF(C25="","",IF(SUM(E24,G24,I24,K24)/$D$9=1,D24,STAMMDATEN!N34))</f>
      </c>
      <c r="E25" s="131">
        <f>IF($E$6="","",IF($C25="","",IF(STAMMDATEN!O34="",E24,STAMMDATEN!O34)))</f>
      </c>
      <c r="F25" s="132">
        <f t="shared" si="6"/>
      </c>
      <c r="G25" s="11">
        <f>IF($G$6="","",IF($C25="","",IF(STAMMDATEN!P34="",G24,STAMMDATEN!P34)))</f>
      </c>
      <c r="H25" s="130">
        <f t="shared" si="1"/>
      </c>
      <c r="I25" s="131">
        <f>IF($I$6="","",IF($C25="","",IF(STAMMDATEN!Q34="",I24,STAMMDATEN!Q34)))</f>
      </c>
      <c r="J25" s="132">
        <f t="shared" si="2"/>
      </c>
      <c r="K25" s="11">
        <f>IF($K$6="","",IF($C25="","",IF(STAMMDATEN!R34="",K24,STAMMDATEN!R34)))</f>
      </c>
      <c r="L25" s="130">
        <f t="shared" si="3"/>
      </c>
      <c r="M25" s="132">
        <f t="shared" si="7"/>
      </c>
      <c r="N25" s="132">
        <f t="shared" si="8"/>
      </c>
      <c r="O25" s="130">
        <f t="shared" si="9"/>
      </c>
      <c r="P25" s="130">
        <f t="shared" si="10"/>
      </c>
      <c r="Q25" s="132">
        <f t="shared" si="11"/>
      </c>
      <c r="R25" s="132">
        <f t="shared" si="12"/>
      </c>
      <c r="S25" s="132">
        <f t="shared" si="13"/>
        <v>0</v>
      </c>
      <c r="T25" s="132">
        <f>IF($C25="","",MAX($S$11:S24))</f>
      </c>
      <c r="U25" s="138">
        <f t="shared" si="15"/>
      </c>
      <c r="V25" s="378">
        <f t="shared" si="4"/>
      </c>
      <c r="W25" s="423">
        <f t="shared" si="14"/>
      </c>
      <c r="X25" s="381">
        <f t="shared" si="16"/>
      </c>
      <c r="Y25" s="221">
        <f t="shared" si="17"/>
      </c>
      <c r="CS25" s="4"/>
    </row>
    <row r="26" spans="1:97" ht="12.75">
      <c r="A26" s="406">
        <f t="shared" si="18"/>
      </c>
      <c r="B26" s="33">
        <f t="shared" si="5"/>
      </c>
      <c r="C26" s="134">
        <f>STAMMDATEN!L35</f>
      </c>
      <c r="D26" s="129">
        <f>IF(C26="","",IF(SUM(E25,G25,I25,K25)/$D$9=1,D25,STAMMDATEN!N35))</f>
      </c>
      <c r="E26" s="131">
        <f>IF($E$6="","",IF($C26="","",IF(STAMMDATEN!O35="",E25,STAMMDATEN!O35)))</f>
      </c>
      <c r="F26" s="132">
        <f t="shared" si="6"/>
      </c>
      <c r="G26" s="11">
        <f>IF($G$6="","",IF($C26="","",IF(STAMMDATEN!P35="",G25,STAMMDATEN!P35)))</f>
      </c>
      <c r="H26" s="130">
        <f t="shared" si="1"/>
      </c>
      <c r="I26" s="131">
        <f>IF($I$6="","",IF($C26="","",IF(STAMMDATEN!Q35="",I25,STAMMDATEN!Q35)))</f>
      </c>
      <c r="J26" s="132">
        <f t="shared" si="2"/>
      </c>
      <c r="K26" s="11">
        <f>IF($K$6="","",IF($C26="","",IF(STAMMDATEN!R35="",K25,STAMMDATEN!R35)))</f>
      </c>
      <c r="L26" s="130">
        <f t="shared" si="3"/>
      </c>
      <c r="M26" s="132">
        <f t="shared" si="7"/>
      </c>
      <c r="N26" s="132">
        <f t="shared" si="8"/>
      </c>
      <c r="O26" s="130">
        <f t="shared" si="9"/>
      </c>
      <c r="P26" s="130">
        <f t="shared" si="10"/>
      </c>
      <c r="Q26" s="132">
        <f t="shared" si="11"/>
      </c>
      <c r="R26" s="132">
        <f t="shared" si="12"/>
      </c>
      <c r="S26" s="132">
        <f t="shared" si="13"/>
        <v>0</v>
      </c>
      <c r="T26" s="132">
        <f>IF($C26="","",MAX($S$11:S25))</f>
      </c>
      <c r="U26" s="138">
        <f t="shared" si="15"/>
      </c>
      <c r="V26" s="378">
        <f t="shared" si="4"/>
      </c>
      <c r="W26" s="423">
        <f t="shared" si="14"/>
      </c>
      <c r="X26" s="381">
        <f t="shared" si="16"/>
      </c>
      <c r="Y26" s="221">
        <f t="shared" si="17"/>
      </c>
      <c r="CS26" s="4"/>
    </row>
    <row r="27" spans="1:97" ht="12.75">
      <c r="A27" s="406">
        <f t="shared" si="18"/>
      </c>
      <c r="B27" s="33">
        <f t="shared" si="5"/>
      </c>
      <c r="C27" s="134">
        <f>STAMMDATEN!L36</f>
      </c>
      <c r="D27" s="129">
        <f>IF(C27="","",IF(SUM(E26,G26,I26,K26)/$D$9=1,D26,STAMMDATEN!N36))</f>
      </c>
      <c r="E27" s="131">
        <f>IF($E$6="","",IF($C27="","",IF(STAMMDATEN!O36="",E26,STAMMDATEN!O36)))</f>
      </c>
      <c r="F27" s="132">
        <f t="shared" si="6"/>
      </c>
      <c r="G27" s="11">
        <f>IF($G$6="","",IF($C27="","",IF(STAMMDATEN!P36="",G26,STAMMDATEN!P36)))</f>
      </c>
      <c r="H27" s="130">
        <f t="shared" si="1"/>
      </c>
      <c r="I27" s="131">
        <f>IF($I$6="","",IF($C27="","",IF(STAMMDATEN!Q36="",I26,STAMMDATEN!Q36)))</f>
      </c>
      <c r="J27" s="132">
        <f t="shared" si="2"/>
      </c>
      <c r="K27" s="11">
        <f>IF($K$6="","",IF($C27="","",IF(STAMMDATEN!R36="",K26,STAMMDATEN!R36)))</f>
      </c>
      <c r="L27" s="130">
        <f t="shared" si="3"/>
      </c>
      <c r="M27" s="132">
        <f t="shared" si="7"/>
      </c>
      <c r="N27" s="132">
        <f t="shared" si="8"/>
      </c>
      <c r="O27" s="130">
        <f t="shared" si="9"/>
      </c>
      <c r="P27" s="130">
        <f t="shared" si="10"/>
      </c>
      <c r="Q27" s="132">
        <f t="shared" si="11"/>
      </c>
      <c r="R27" s="132">
        <f t="shared" si="12"/>
      </c>
      <c r="S27" s="132">
        <f t="shared" si="13"/>
        <v>0</v>
      </c>
      <c r="T27" s="132">
        <f>IF($C27="","",MAX($S$11:S26))</f>
      </c>
      <c r="U27" s="138">
        <f t="shared" si="15"/>
      </c>
      <c r="V27" s="378">
        <f t="shared" si="4"/>
      </c>
      <c r="W27" s="423">
        <f t="shared" si="14"/>
      </c>
      <c r="X27" s="381">
        <f t="shared" si="16"/>
      </c>
      <c r="Y27" s="221">
        <f t="shared" si="17"/>
      </c>
      <c r="CS27" s="4"/>
    </row>
    <row r="28" spans="1:97" ht="12.75">
      <c r="A28" s="406">
        <f t="shared" si="18"/>
      </c>
      <c r="B28" s="33">
        <f t="shared" si="5"/>
      </c>
      <c r="C28" s="134">
        <f>STAMMDATEN!L37</f>
      </c>
      <c r="D28" s="129">
        <f>IF(C28="","",IF(SUM(E27,G27,I27,K27)/$D$9=1,D27,STAMMDATEN!N37))</f>
      </c>
      <c r="E28" s="131">
        <f>IF($E$6="","",IF($C28="","",IF(STAMMDATEN!O37="",E27,STAMMDATEN!O37)))</f>
      </c>
      <c r="F28" s="132">
        <f t="shared" si="6"/>
      </c>
      <c r="G28" s="11">
        <f>IF($G$6="","",IF($C28="","",IF(STAMMDATEN!P37="",G27,STAMMDATEN!P37)))</f>
      </c>
      <c r="H28" s="130">
        <f t="shared" si="1"/>
      </c>
      <c r="I28" s="131">
        <f>IF($I$6="","",IF($C28="","",IF(STAMMDATEN!Q37="",I27,STAMMDATEN!Q37)))</f>
      </c>
      <c r="J28" s="132">
        <f t="shared" si="2"/>
      </c>
      <c r="K28" s="11">
        <f>IF($K$6="","",IF($C28="","",IF(STAMMDATEN!R37="",K27,STAMMDATEN!R37)))</f>
      </c>
      <c r="L28" s="130">
        <f t="shared" si="3"/>
      </c>
      <c r="M28" s="132">
        <f t="shared" si="7"/>
      </c>
      <c r="N28" s="132">
        <f t="shared" si="8"/>
      </c>
      <c r="O28" s="130">
        <f t="shared" si="9"/>
      </c>
      <c r="P28" s="130">
        <f t="shared" si="10"/>
      </c>
      <c r="Q28" s="132">
        <f t="shared" si="11"/>
      </c>
      <c r="R28" s="132">
        <f t="shared" si="12"/>
      </c>
      <c r="S28" s="132">
        <f t="shared" si="13"/>
        <v>0</v>
      </c>
      <c r="T28" s="132">
        <f>IF($C28="","",MAX($S$11:S27))</f>
      </c>
      <c r="U28" s="138">
        <f t="shared" si="15"/>
      </c>
      <c r="V28" s="378">
        <f t="shared" si="4"/>
      </c>
      <c r="W28" s="423">
        <f t="shared" si="14"/>
      </c>
      <c r="X28" s="381">
        <f t="shared" si="16"/>
      </c>
      <c r="Y28" s="221">
        <f t="shared" si="17"/>
      </c>
      <c r="CS28" s="4"/>
    </row>
    <row r="29" spans="1:97" ht="12.75">
      <c r="A29" s="406">
        <f t="shared" si="18"/>
      </c>
      <c r="B29" s="33">
        <f t="shared" si="5"/>
      </c>
      <c r="C29" s="134">
        <f>STAMMDATEN!L38</f>
      </c>
      <c r="D29" s="129">
        <f>IF(C29="","",IF(SUM(E28,G28,I28,K28)/$D$9=1,D28,STAMMDATEN!N38))</f>
      </c>
      <c r="E29" s="131">
        <f>IF($E$6="","",IF($C29="","",IF(STAMMDATEN!O38="",E28,STAMMDATEN!O38)))</f>
      </c>
      <c r="F29" s="132">
        <f t="shared" si="6"/>
      </c>
      <c r="G29" s="11">
        <f>IF($G$6="","",IF($C29="","",IF(STAMMDATEN!P38="",G28,STAMMDATEN!P38)))</f>
      </c>
      <c r="H29" s="130">
        <f t="shared" si="1"/>
      </c>
      <c r="I29" s="131">
        <f>IF($I$6="","",IF($C29="","",IF(STAMMDATEN!Q38="",I28,STAMMDATEN!Q38)))</f>
      </c>
      <c r="J29" s="132">
        <f t="shared" si="2"/>
      </c>
      <c r="K29" s="11">
        <f>IF($K$6="","",IF($C29="","",IF(STAMMDATEN!R38="",K28,STAMMDATEN!R38)))</f>
      </c>
      <c r="L29" s="130">
        <f t="shared" si="3"/>
      </c>
      <c r="M29" s="132">
        <f t="shared" si="7"/>
      </c>
      <c r="N29" s="132">
        <f t="shared" si="8"/>
      </c>
      <c r="O29" s="130">
        <f t="shared" si="9"/>
      </c>
      <c r="P29" s="130">
        <f t="shared" si="10"/>
      </c>
      <c r="Q29" s="132">
        <f t="shared" si="11"/>
      </c>
      <c r="R29" s="132">
        <f t="shared" si="12"/>
      </c>
      <c r="S29" s="132">
        <f t="shared" si="13"/>
        <v>0</v>
      </c>
      <c r="T29" s="132">
        <f>IF($C29="","",MAX($S$11:S28))</f>
      </c>
      <c r="U29" s="138">
        <f t="shared" si="15"/>
      </c>
      <c r="V29" s="378">
        <f t="shared" si="4"/>
      </c>
      <c r="W29" s="423">
        <f t="shared" si="14"/>
      </c>
      <c r="X29" s="381">
        <f t="shared" si="16"/>
      </c>
      <c r="Y29" s="221">
        <f t="shared" si="17"/>
      </c>
      <c r="CS29" s="4"/>
    </row>
    <row r="30" spans="1:97" ht="12.75">
      <c r="A30" s="406">
        <f t="shared" si="18"/>
      </c>
      <c r="B30" s="33">
        <f t="shared" si="5"/>
      </c>
      <c r="C30" s="134">
        <f>STAMMDATEN!L39</f>
      </c>
      <c r="D30" s="129">
        <f>IF(C30="","",IF(SUM(E29,G29,I29,K29)/$D$9=1,D29,STAMMDATEN!N39))</f>
      </c>
      <c r="E30" s="131">
        <f>IF($E$6="","",IF($C30="","",IF(STAMMDATEN!O39="",E29,STAMMDATEN!O39)))</f>
      </c>
      <c r="F30" s="132">
        <f t="shared" si="6"/>
      </c>
      <c r="G30" s="11">
        <f>IF($G$6="","",IF($C30="","",IF(STAMMDATEN!P39="",G29,STAMMDATEN!P39)))</f>
      </c>
      <c r="H30" s="130">
        <f t="shared" si="1"/>
      </c>
      <c r="I30" s="131">
        <f>IF($I$6="","",IF($C30="","",IF(STAMMDATEN!Q39="",I29,STAMMDATEN!Q39)))</f>
      </c>
      <c r="J30" s="132">
        <f t="shared" si="2"/>
      </c>
      <c r="K30" s="11">
        <f>IF($K$6="","",IF($C30="","",IF(STAMMDATEN!R39="",K29,STAMMDATEN!R39)))</f>
      </c>
      <c r="L30" s="130">
        <f t="shared" si="3"/>
      </c>
      <c r="M30" s="132">
        <f t="shared" si="7"/>
      </c>
      <c r="N30" s="132">
        <f t="shared" si="8"/>
      </c>
      <c r="O30" s="130">
        <f t="shared" si="9"/>
      </c>
      <c r="P30" s="130">
        <f t="shared" si="10"/>
      </c>
      <c r="Q30" s="132">
        <f t="shared" si="11"/>
      </c>
      <c r="R30" s="132">
        <f t="shared" si="12"/>
      </c>
      <c r="S30" s="132">
        <f t="shared" si="13"/>
        <v>0</v>
      </c>
      <c r="T30" s="132">
        <f>IF($C30="","",MAX($S$11:S29))</f>
      </c>
      <c r="U30" s="138">
        <f t="shared" si="15"/>
      </c>
      <c r="V30" s="378">
        <f t="shared" si="4"/>
      </c>
      <c r="W30" s="423">
        <f>IF($B30="","",IF(V29="","",IF($C30=$C29,"",IF(SUM($E29,$G29,$I29,$K29)/D27=1,"",SUM($B30-$B29)*SUM(S29:S29)))))</f>
      </c>
      <c r="X30" s="381">
        <f t="shared" si="16"/>
      </c>
      <c r="Y30" s="221">
        <f t="shared" si="17"/>
      </c>
      <c r="CS30" s="4"/>
    </row>
    <row r="31" spans="1:96" s="37" customFormat="1" ht="12.75" customHeight="1" thickBot="1">
      <c r="A31" s="407" t="s">
        <v>170</v>
      </c>
      <c r="B31" s="416">
        <f>IF(SUM(B11:B30)=0,"",MAX(B11:B30))</f>
        <v>0.16</v>
      </c>
      <c r="C31" s="134">
        <f aca="true" t="shared" si="19" ref="C31:R31">MAX(C11:C30)</f>
        <v>2</v>
      </c>
      <c r="D31" s="38">
        <f>MAX(D11:D30)</f>
        <v>35921</v>
      </c>
      <c r="E31" s="131">
        <f t="shared" si="19"/>
        <v>0.3</v>
      </c>
      <c r="F31" s="132">
        <f t="shared" si="19"/>
        <v>0</v>
      </c>
      <c r="G31" s="34">
        <f t="shared" si="19"/>
        <v>0.3</v>
      </c>
      <c r="H31" s="385">
        <f t="shared" si="19"/>
        <v>0</v>
      </c>
      <c r="I31" s="131">
        <f t="shared" si="19"/>
        <v>0.3</v>
      </c>
      <c r="J31" s="132">
        <f t="shared" si="19"/>
        <v>0</v>
      </c>
      <c r="K31" s="34">
        <f t="shared" si="19"/>
        <v>0.3</v>
      </c>
      <c r="L31" s="130">
        <f t="shared" si="19"/>
        <v>0</v>
      </c>
      <c r="M31" s="373">
        <f t="shared" si="19"/>
        <v>0</v>
      </c>
      <c r="N31" s="195">
        <f t="shared" si="19"/>
        <v>0</v>
      </c>
      <c r="O31" s="196">
        <f t="shared" si="19"/>
        <v>0</v>
      </c>
      <c r="P31" s="314">
        <f t="shared" si="19"/>
        <v>0</v>
      </c>
      <c r="Q31" s="197">
        <f t="shared" si="19"/>
        <v>0</v>
      </c>
      <c r="R31" s="198">
        <f t="shared" si="19"/>
        <v>0</v>
      </c>
      <c r="S31" s="132">
        <f>MAX(S11:S30)</f>
        <v>0</v>
      </c>
      <c r="T31" s="132">
        <f>MAX(T11:T30)</f>
        <v>0</v>
      </c>
      <c r="U31" s="147">
        <f>IF(W31=0,"","X")</f>
      </c>
      <c r="V31" s="378">
        <f>MAX(V11:V30)</f>
        <v>0</v>
      </c>
      <c r="W31" s="423">
        <f>MAX(W11:W30)</f>
        <v>0</v>
      </c>
      <c r="X31" s="382">
        <f>IF(W31=0,"",MAX(X11:X30))</f>
      </c>
      <c r="Y31" s="221">
        <f>MAX(Y12:Y30)</f>
        <v>0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</row>
    <row r="32" spans="1:96" s="37" customFormat="1" ht="12.75" customHeight="1" thickBot="1">
      <c r="A32" s="146" t="s">
        <v>121</v>
      </c>
      <c r="B32" s="12"/>
      <c r="C32" s="12"/>
      <c r="D32" s="426"/>
      <c r="E32" s="139" t="s">
        <v>129</v>
      </c>
      <c r="F32" s="12"/>
      <c r="G32" s="12"/>
      <c r="H32" s="12"/>
      <c r="I32" s="139"/>
      <c r="J32" s="12"/>
      <c r="K32" s="12"/>
      <c r="L32" s="12"/>
      <c r="M32" s="374">
        <f>IF(N31=0,M31,N31)</f>
        <v>0</v>
      </c>
      <c r="N32" s="315" t="s">
        <v>205</v>
      </c>
      <c r="O32" s="313">
        <f>IF(P31=0,O31,P31)</f>
        <v>0</v>
      </c>
      <c r="P32" s="337">
        <f>SUM(M32:O32)</f>
        <v>0</v>
      </c>
      <c r="Q32" s="397">
        <f>IF(R31=0,Q31,R31)</f>
        <v>0</v>
      </c>
      <c r="R32" s="396" t="s">
        <v>229</v>
      </c>
      <c r="S32" s="167">
        <f>S31</f>
        <v>0</v>
      </c>
      <c r="T32" s="343"/>
      <c r="U32" s="380"/>
      <c r="V32" s="379">
        <f>IF(M$38=0,"",SUM($E31,$G31,$I31,K31)/M$38)</f>
        <v>0.3</v>
      </c>
      <c r="W32" s="420"/>
      <c r="X32" s="381"/>
      <c r="Y32" s="69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</row>
    <row r="33" spans="1:96" s="37" customFormat="1" ht="12.75" customHeight="1">
      <c r="A33" s="406">
        <f>IF(C33="","",IF(C33=0,"",IF($Q$2=0,$R$1,IF($R$2&lt;=D33,$R$1,$Q$1))))</f>
      </c>
      <c r="B33" s="384">
        <f>IF(SUM(E33,G33,I33,K33)=0,"",IF(SUM(E$31,G$31,I$31,K$31)=SUM($E$33,$G$33,$I$33,$K$33),B$31,IF($B$8&lt;=$D33,$A$8,$A$7)))</f>
      </c>
      <c r="C33" s="134">
        <f>IF(STAMMDATEN!$L$49="","",STAMMDATEN!$L$49)</f>
      </c>
      <c r="D33" s="129">
        <f>IF(C33="","",STAMMDATEN!N49)</f>
      </c>
      <c r="E33" s="131">
        <f>IF(E$8="","",IF($C$33="","",1))</f>
      </c>
      <c r="F33" s="132">
        <f>IF($D33="","",IF(E33="","",IF(SUM($E$31,$G$31,$I$31,$K$31)=SUM($E$33,$G$33,$I$33,$K$33),F$31,IF($D33&gt;=$R$2,SUM(F$5*E33),SUM(F$4*E33)))))</f>
      </c>
      <c r="G33" s="11">
        <f>IF($G$8="","",IF($C33="","",1))</f>
      </c>
      <c r="H33" s="130">
        <f>IF($D33="","",IF(G33="","",IF(SUM($E$31,$G$31,$I$31,$K$31)=SUM($E$33,$G$33,$I$33,$K$33),H$31,IF($D33&gt;=$R$2,SUM(H$5*G33),SUM(H$4*G33)))))</f>
      </c>
      <c r="I33" s="131">
        <f>IF($I$8="","",IF($C33="","",1))</f>
      </c>
      <c r="J33" s="132">
        <f>IF($D33="","",IF(I33="","",IF(SUM($E$31,$G$31,$I$31,$K$31)=SUM($E$33,$G$33,$I$33,$K$33),J$31,IF($D33&gt;=$R$2,SUM(J$5*I33),SUM(J$4*I33)))))</f>
      </c>
      <c r="K33" s="11">
        <f>IF($K$8="","",IF($C33="","",1))</f>
      </c>
      <c r="L33" s="130">
        <f>IF($D33="","",IF(K33="","",IF(SUM($E$31,$G$31,$I$31,$K$31)=SUM($E$33,$G$33,$I$33,$K$33),L$31,IF($D33&gt;=$R$2,SUM(L$5*K33),SUM(L$4*K33)))))</f>
      </c>
      <c r="M33" s="418">
        <f>IF($D33="","",IF(SUM(E$31,G$31,I$31,K$31)=SUM(E33,G33,I33,K33),M32,SUM(F33,H33,J33,L33)))</f>
      </c>
      <c r="O33" s="196">
        <f>IF($D33="","",SUM(M$33*O10))</f>
      </c>
      <c r="P33" s="95"/>
      <c r="Q33" s="197">
        <f>IF($D33="","",SUM(M33:P33)*Q10)</f>
      </c>
      <c r="R33" s="95">
        <f>SUM(M33:Q33)</f>
        <v>0</v>
      </c>
      <c r="S33" s="132">
        <f>SUM(M33,O33,Q33)</f>
        <v>0</v>
      </c>
      <c r="T33" s="132">
        <f>IF($D33="","",S32)</f>
      </c>
      <c r="U33" s="147">
        <f>IF(W33="","","X")</f>
      </c>
      <c r="V33" s="378">
        <f>IF($B33="","",($B33*SUM(S33:S33)))</f>
      </c>
      <c r="W33" s="423">
        <f>IF($D33="","",IF($V32=1,"",IF($B33=$B31,"",SUM($A$8-$A$7)*SUM(S$32))))</f>
      </c>
      <c r="X33" s="382">
        <f>IF($B33="","",IF($B33=$B31,"",$C33))</f>
      </c>
      <c r="Y33" s="69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</row>
    <row r="34" spans="1:96" s="37" customFormat="1" ht="12.75" customHeight="1">
      <c r="A34" s="146" t="s">
        <v>122</v>
      </c>
      <c r="B34" s="12"/>
      <c r="C34" s="12"/>
      <c r="D34" s="426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T34" s="341"/>
      <c r="U34" s="380"/>
      <c r="V34" s="379">
        <f>IF($B33="","",IF(V$32=1,"",SUM($E33,$G33,I$33,K33)/M$38))</f>
      </c>
      <c r="W34" s="420"/>
      <c r="X34" s="381"/>
      <c r="Y34" s="69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</row>
    <row r="35" spans="1:96" s="37" customFormat="1" ht="12.75" customHeight="1" thickBot="1">
      <c r="A35" s="406">
        <f>IF(C35="","",IF($Q$2=0,$R$1,IF($R$2&lt;=D35,$R$1,$Q$1)))</f>
      </c>
      <c r="B35" s="384">
        <f>IF(D35="","",IF(SUM(E$31,G$31,I$31,K$31)=SUM($E$35,$G$35,$I$35,$K$35),B$31,IF($B$8&lt;=$D35,$A$8,$A$7)))</f>
      </c>
      <c r="C35" s="134">
        <f>IF(STAMMDATEN!$L$53="","",STAMMDATEN!$L$53)</f>
      </c>
      <c r="D35" s="129">
        <f>IF(C35="","",STAMMDATEN!N53)</f>
      </c>
      <c r="E35" s="131">
        <f>IF(E$8="","",IF($C$35="","",1))</f>
      </c>
      <c r="F35" s="132">
        <f>IF($D35="","",IF(E35="","",IF(E35=E$31,F$31,IF($D35&gt;=$R$2,SUM(F$5*E35),SUM(F$4*E35)))))</f>
      </c>
      <c r="G35" s="11">
        <f>IF($G$8="","",IF($C35="","",1))</f>
      </c>
      <c r="H35" s="130">
        <f>IF($D35="","",IF(G35="","",IF(G35=G$31,H$31,IF($D35&gt;=$R$2,SUM(H$5*G35),SUM(H$4*G35)))))</f>
      </c>
      <c r="I35" s="131">
        <f>IF($I$8="","",IF($C35="","",1))</f>
      </c>
      <c r="J35" s="132">
        <f>IF($D35="","",IF(I35="","",IF(I35=I$31,J$31,IF($D35&gt;=$R$2,SUM(J$5*I35),SUM(J$4*I35)))))</f>
      </c>
      <c r="K35" s="11">
        <f>IF($K$8="","",IF($C35="","",1))</f>
      </c>
      <c r="L35" s="130">
        <f>IF($D35="","",IF(K35="","",IF(K35=K$31,L$31,IF($D35&gt;=$R$2,SUM(L$5*K35),SUM(L$4*K35)))))</f>
      </c>
      <c r="M35" s="418">
        <f>IF($D35="","",IF(SUM(E$31,G$31,I$31,K$31)=SUM(E35,G35,I35,K35),M32,SUM(F35,H35,J35,L35)))</f>
      </c>
      <c r="N35" s="12"/>
      <c r="O35" s="196">
        <f>IF($D35="","",SUM(M35*O10))</f>
      </c>
      <c r="P35" s="12"/>
      <c r="Q35" s="199">
        <f>IF($D35="","",SUM(M35:O35)*Q10)</f>
      </c>
      <c r="S35" s="132">
        <f>SUM(M35,O35,Q35)</f>
        <v>0</v>
      </c>
      <c r="T35" s="132">
        <f>IF($D35="","",MAX(S32:S33))</f>
      </c>
      <c r="U35" s="147">
        <f>IF(W35="","","X")</f>
      </c>
      <c r="V35" s="378">
        <f>IF($B35="","",($B35*SUM(S35:S35)))</f>
      </c>
      <c r="W35" s="378">
        <f>IF($D35="","",IF(MAX(V32,V34)=1,"",IF($B35=MAX($B31,$B33),"",SUM($A$8-$A$7)*MAX(S32:S33))))</f>
      </c>
      <c r="X35" s="382">
        <f>IF($D35="","",IF($B35=MAX($B31:$B33),"",$C35))</f>
      </c>
      <c r="Y35" s="69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</row>
    <row r="36" spans="1:96" s="37" customFormat="1" ht="12.75" customHeight="1" thickBot="1">
      <c r="A36" s="152" t="s">
        <v>167</v>
      </c>
      <c r="B36" s="12"/>
      <c r="C36" s="12"/>
      <c r="D36" s="23" t="s">
        <v>166</v>
      </c>
      <c r="E36" s="184">
        <f>MAX(E31:E35)</f>
        <v>0.3</v>
      </c>
      <c r="F36" s="28">
        <f>IF(SUM($D$33,$D$35)=0,F31,MAX(F33,F35))</f>
        <v>0</v>
      </c>
      <c r="G36" s="184">
        <f>MAX(G31:G35)</f>
        <v>0.3</v>
      </c>
      <c r="H36" s="28">
        <f>IF(SUM($D$33,$D$35)=0,H31,MAX(H33,H35))</f>
        <v>0</v>
      </c>
      <c r="I36" s="184">
        <f>MAX(I31:I35)</f>
        <v>0.3</v>
      </c>
      <c r="J36" s="28">
        <f>IF(SUM($D$33,$D$35)=0,J31,MAX(J33,J35))</f>
        <v>0</v>
      </c>
      <c r="K36" s="184">
        <f>MAX(K31:K35)</f>
        <v>0.3</v>
      </c>
      <c r="L36" s="28">
        <f>IF(SUM($D$33,$D$35)=0,L31,MAX(L33,L35))</f>
        <v>0</v>
      </c>
      <c r="M36" s="182">
        <f>IF(SUM($D$33,$D$35)=0,M32,MAX(M33,M35))</f>
        <v>0</v>
      </c>
      <c r="N36" s="315" t="s">
        <v>205</v>
      </c>
      <c r="O36" s="182">
        <f>IF(SUM($D$33,$D$35)=0,O32,MAX(O33,O35))</f>
        <v>0</v>
      </c>
      <c r="P36" s="337">
        <f>SUM(M36:O36)</f>
        <v>0</v>
      </c>
      <c r="Q36" s="182">
        <f>IF(SUM($D$33,$D$35)=0,Q32,MAX(Q33,Q35))</f>
        <v>0</v>
      </c>
      <c r="R36" s="415">
        <f>SUM(P36:Q36)</f>
        <v>0</v>
      </c>
      <c r="T36" s="187">
        <f>MAX(T31:T35)</f>
        <v>0</v>
      </c>
      <c r="U36" s="380">
        <f>IF(X36="","","X")</f>
      </c>
      <c r="V36" s="6"/>
      <c r="W36" s="420"/>
      <c r="X36" s="381"/>
      <c r="Y36" s="69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</row>
    <row r="37" spans="1:96" s="37" customFormat="1" ht="12.75" customHeight="1">
      <c r="A37" s="12" t="s">
        <v>220</v>
      </c>
      <c r="B37" s="12"/>
      <c r="C37" s="12"/>
      <c r="D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6"/>
      <c r="U37" s="53"/>
      <c r="V37" s="6"/>
      <c r="W37" s="420"/>
      <c r="X37" s="381"/>
      <c r="Y37" s="69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</row>
    <row r="38" spans="1:96" s="37" customFormat="1" ht="12.75" customHeight="1">
      <c r="A38" s="12"/>
      <c r="B38" s="364">
        <f>IF(F3=0,"",IF(M38=0,"",IF(SUM(E31,G31,I31,K31)/M38=1,B31,MAX(B31,B33,B35))))</f>
      </c>
      <c r="C38" s="72">
        <f>IF(D38=D35,C35,IF(D38=D33,C33,IF(D38=D31,C31,"")))</f>
        <v>2</v>
      </c>
      <c r="D38" s="280">
        <f>IF(M38=0,"",IF(SUM(E31,G31,I31,K31)/M38=1,D31,MAX(D31:D35)))</f>
        <v>35921</v>
      </c>
      <c r="E38" s="12">
        <f>E9</f>
        <v>1</v>
      </c>
      <c r="F38" s="12"/>
      <c r="G38" s="12">
        <f>G9</f>
        <v>1</v>
      </c>
      <c r="H38" s="12"/>
      <c r="I38" s="12">
        <f>I9</f>
        <v>1</v>
      </c>
      <c r="J38" s="12"/>
      <c r="K38" s="12">
        <f>K9</f>
        <v>1</v>
      </c>
      <c r="L38" s="12"/>
      <c r="M38" s="410">
        <f>SUM(E38,G38,I38,K38)</f>
        <v>4</v>
      </c>
      <c r="N38" s="12"/>
      <c r="O38" s="12"/>
      <c r="P38" s="12"/>
      <c r="Q38" s="12"/>
      <c r="R38" s="28"/>
      <c r="S38" s="28"/>
      <c r="T38" s="42"/>
      <c r="U38" s="53"/>
      <c r="V38" s="6"/>
      <c r="W38" s="422">
        <f>MAX(W31:W35)</f>
        <v>0</v>
      </c>
      <c r="X38" s="217">
        <f>IF(U31="X",X31,IF(U33="X",X33,IF(U35="X",X35,"")))</f>
      </c>
      <c r="Y38" s="425">
        <f>MAX(Y12:Y30)</f>
        <v>0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</row>
    <row r="39" spans="1:96" s="37" customFormat="1" ht="12.75" customHeight="1">
      <c r="A39" s="12"/>
      <c r="B39" s="12"/>
      <c r="C39" s="12"/>
      <c r="D39" s="12" t="s">
        <v>322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6"/>
      <c r="U39" s="53"/>
      <c r="V39" s="6"/>
      <c r="W39" s="420"/>
      <c r="X39" s="383">
        <f>IF(X38="","",1)</f>
      </c>
      <c r="Y39" s="411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</row>
    <row r="40" spans="1:97" s="37" customFormat="1" ht="12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6"/>
      <c r="U40" s="53"/>
      <c r="V40" s="6"/>
      <c r="W40" s="420"/>
      <c r="X40" s="381"/>
      <c r="Y40" s="411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</row>
    <row r="41" spans="1:97" s="37" customFormat="1" ht="12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6"/>
      <c r="U41" s="53"/>
      <c r="V41" s="6"/>
      <c r="W41" s="420"/>
      <c r="X41" s="381"/>
      <c r="Y41" s="411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</row>
    <row r="42" spans="1:97" s="37" customFormat="1" ht="12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6"/>
      <c r="U42" s="53"/>
      <c r="V42" s="6"/>
      <c r="W42" s="420"/>
      <c r="X42" s="381"/>
      <c r="Y42" s="411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</row>
    <row r="43" spans="1:97" s="37" customFormat="1" ht="12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6"/>
      <c r="U43" s="53"/>
      <c r="V43" s="6"/>
      <c r="W43" s="420"/>
      <c r="X43" s="381"/>
      <c r="Y43" s="411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</row>
    <row r="44" spans="1:97" s="37" customFormat="1" ht="12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6"/>
      <c r="U44" s="53"/>
      <c r="V44" s="6"/>
      <c r="W44" s="420"/>
      <c r="X44" s="381"/>
      <c r="Y44" s="411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</row>
    <row r="45" spans="1:97" s="37" customFormat="1" ht="20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6"/>
      <c r="U45" s="53"/>
      <c r="V45" s="6"/>
      <c r="W45" s="420"/>
      <c r="X45" s="381"/>
      <c r="Y45" s="411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</row>
    <row r="46" spans="1:97" s="37" customFormat="1" ht="12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6"/>
      <c r="U46" s="53"/>
      <c r="V46" s="6"/>
      <c r="W46" s="420"/>
      <c r="X46" s="381"/>
      <c r="Y46" s="411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</row>
    <row r="47" spans="1:97" s="37" customFormat="1" ht="12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6"/>
      <c r="U47" s="53"/>
      <c r="V47" s="6"/>
      <c r="W47" s="420"/>
      <c r="X47" s="381"/>
      <c r="Y47" s="411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</row>
    <row r="48" spans="1:19" ht="12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1:19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</row>
    <row r="55" spans="1:19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</row>
  </sheetData>
  <sheetProtection password="CBC6" sheet="1" objects="1" scenarios="1"/>
  <mergeCells count="8">
    <mergeCell ref="X4:X10"/>
    <mergeCell ref="B6:D6"/>
    <mergeCell ref="A1:C1"/>
    <mergeCell ref="B8:C8"/>
    <mergeCell ref="M10:N10"/>
    <mergeCell ref="O8:P8"/>
    <mergeCell ref="Q8:R8"/>
    <mergeCell ref="U5:U10"/>
  </mergeCells>
  <printOptions horizontalCentered="1" verticalCentered="1"/>
  <pageMargins left="0.3937007874015748" right="0" top="0.3937007874015748" bottom="0" header="0" footer="0"/>
  <pageSetup fitToHeight="1" fitToWidth="1"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55"/>
  <sheetViews>
    <sheetView showZeros="0" workbookViewId="0" topLeftCell="A1">
      <selection activeCell="A1" sqref="A1:C1"/>
    </sheetView>
  </sheetViews>
  <sheetFormatPr defaultColWidth="11.421875" defaultRowHeight="12.75"/>
  <cols>
    <col min="1" max="3" width="4.7109375" style="4" customWidth="1"/>
    <col min="4" max="4" width="12.140625" style="4" customWidth="1"/>
    <col min="5" max="5" width="5.28125" style="4" customWidth="1"/>
    <col min="6" max="6" width="9.8515625" style="4" customWidth="1"/>
    <col min="7" max="7" width="5.28125" style="4" customWidth="1"/>
    <col min="8" max="8" width="9.8515625" style="4" customWidth="1"/>
    <col min="9" max="9" width="5.28125" style="4" customWidth="1"/>
    <col min="10" max="16" width="9.8515625" style="4" customWidth="1"/>
    <col min="17" max="17" width="9.8515625" style="6" customWidth="1"/>
    <col min="18" max="18" width="11.421875" style="6" customWidth="1"/>
    <col min="19" max="19" width="3.28125" style="6" customWidth="1"/>
    <col min="20" max="20" width="9.28125" style="6" customWidth="1"/>
    <col min="21" max="21" width="9.28125" style="420" customWidth="1"/>
    <col min="22" max="22" width="3.140625" style="222" customWidth="1"/>
    <col min="23" max="23" width="10.140625" style="411" customWidth="1"/>
    <col min="24" max="93" width="11.421875" style="6" customWidth="1"/>
    <col min="94" max="16384" width="11.421875" style="4" customWidth="1"/>
  </cols>
  <sheetData>
    <row r="1" spans="1:19" ht="12.75" customHeight="1">
      <c r="A1" s="611" t="s">
        <v>156</v>
      </c>
      <c r="B1" s="612"/>
      <c r="C1" s="612"/>
      <c r="D1" s="128"/>
      <c r="E1" s="174" t="s">
        <v>185</v>
      </c>
      <c r="F1" s="128"/>
      <c r="G1" s="128"/>
      <c r="H1" s="128"/>
      <c r="I1" s="128"/>
      <c r="J1" s="128"/>
      <c r="K1" s="128"/>
      <c r="L1" s="128"/>
      <c r="M1" s="128"/>
      <c r="N1" s="128"/>
      <c r="O1" s="209" t="s">
        <v>6</v>
      </c>
      <c r="P1" s="211" t="s">
        <v>67</v>
      </c>
      <c r="Q1" s="138"/>
      <c r="R1" s="55"/>
      <c r="S1" s="55"/>
    </row>
    <row r="2" spans="1:19" ht="12.75">
      <c r="A2" s="549" t="s">
        <v>324</v>
      </c>
      <c r="B2" s="43"/>
      <c r="C2" s="30"/>
      <c r="D2" s="30"/>
      <c r="E2" s="126" t="s">
        <v>182</v>
      </c>
      <c r="F2" s="178" t="str">
        <f>IF(STAMMDATEN!$A$28="X",STAMMDATEN!$B$28,IF(STAMMDATEN!$A$29="X",STAMMDATEN!$B$29,IF(STAMMDATEN!$A$30="X",STAMMDATEN!$B$30,"")))</f>
        <v>Gebäude</v>
      </c>
      <c r="G2" s="122"/>
      <c r="H2" s="136"/>
      <c r="I2" s="178" t="str">
        <f>IF(STAMMDATEN!$A$28="X",STAMMDATEN!$D$28,IF(STAMMDATEN!$A$29="X",STAMMDATEN!$D$29,IF(STAMMDATEN!$A$30="X",STAMMDATEN!$D$30,"")))</f>
        <v>nach HOAI § 16</v>
      </c>
      <c r="J2" s="122"/>
      <c r="K2" s="142"/>
      <c r="L2" s="142"/>
      <c r="M2" s="142" t="s">
        <v>51</v>
      </c>
      <c r="N2" s="591">
        <f>D38</f>
        <v>35921</v>
      </c>
      <c r="O2" s="371">
        <f>STAMMDATEN!B40</f>
        <v>0</v>
      </c>
      <c r="P2" s="371">
        <f>IF(O2&gt;=STAMMDATEN!B46,"",STAMMDATEN!B46)</f>
      </c>
      <c r="Q2" s="142"/>
      <c r="R2" s="344"/>
      <c r="S2" s="55"/>
    </row>
    <row r="3" spans="1:19" ht="12.75">
      <c r="A3" s="148"/>
      <c r="B3" s="43"/>
      <c r="C3" s="43"/>
      <c r="D3" s="171" t="s">
        <v>165</v>
      </c>
      <c r="E3" s="122"/>
      <c r="F3" s="592">
        <f>SUM(O3:P3)</f>
        <v>0</v>
      </c>
      <c r="G3" s="122"/>
      <c r="H3" s="122"/>
      <c r="I3" s="122"/>
      <c r="J3" s="122"/>
      <c r="K3" s="21"/>
      <c r="L3" s="21"/>
      <c r="M3" s="47" t="s">
        <v>200</v>
      </c>
      <c r="N3" s="136"/>
      <c r="O3" s="123">
        <f>IF(O2="","",STAMMDATEN!H42)</f>
      </c>
      <c r="P3" s="124">
        <f>IF(P2="","",STAMMDATEN!H45)</f>
      </c>
      <c r="Q3" s="142"/>
      <c r="R3" s="344"/>
      <c r="S3" s="55"/>
    </row>
    <row r="4" spans="1:22" ht="13.5" thickBot="1">
      <c r="A4" s="148"/>
      <c r="B4" s="43"/>
      <c r="C4" s="209" t="s">
        <v>6</v>
      </c>
      <c r="D4" s="172">
        <f>SUM(F4,H4,J4)</f>
        <v>0</v>
      </c>
      <c r="E4" s="183"/>
      <c r="F4" s="167">
        <f>IF(E6="","",IF(E8="","",IF($O$3="","",SUM(E$8*$O$3*E6))))</f>
      </c>
      <c r="G4" s="183"/>
      <c r="H4" s="167">
        <f>IF(G6="","",IF(G8="","",IF($O3="","",SUM($G8*$O$3*G6))))</f>
      </c>
      <c r="I4" s="183"/>
      <c r="J4" s="167">
        <f>IF(I6="","",IF(I8="","",IF($O3="","",SUM($I8*$O$3*I6))))</f>
      </c>
      <c r="K4" s="21"/>
      <c r="L4" s="21"/>
      <c r="M4" s="179" t="s">
        <v>164</v>
      </c>
      <c r="N4" s="305">
        <f>SUM(E8,G8,I8)</f>
        <v>0.38999999999999996</v>
      </c>
      <c r="O4" s="123">
        <f>IF(O3="","",SUM(O3*N4))</f>
      </c>
      <c r="P4" s="123">
        <f>IF(P3="","",SUM(P3*N4))</f>
      </c>
      <c r="Q4" s="142"/>
      <c r="R4" s="344"/>
      <c r="S4" s="55"/>
      <c r="V4" s="617" t="s">
        <v>232</v>
      </c>
    </row>
    <row r="5" spans="1:22" ht="13.5" thickBot="1">
      <c r="A5" s="43"/>
      <c r="B5" s="43"/>
      <c r="C5" s="210" t="s">
        <v>67</v>
      </c>
      <c r="D5" s="172">
        <f>SUM(F5,H5,J5)</f>
        <v>0</v>
      </c>
      <c r="E5" s="324"/>
      <c r="F5" s="167">
        <f>IF(E6="","",IF(E8="","",IF($P$3="","",SUM(E$8*$P$3*E6))))</f>
      </c>
      <c r="G5" s="324"/>
      <c r="H5" s="167">
        <f>IF(G6="","",IF(G8="","",IF($P$3="","",SUM(G$8*$P$3*G6))))</f>
      </c>
      <c r="I5" s="324"/>
      <c r="J5" s="167">
        <f>IF(I6="","",IF(I8="","",IF($P$3="","",SUM(I$8*$P$3*I6))))</f>
      </c>
      <c r="K5" s="21"/>
      <c r="L5" s="126"/>
      <c r="M5" s="335" t="s">
        <v>212</v>
      </c>
      <c r="N5" s="305">
        <f>SUM(E7,G7,I7)</f>
        <v>0.38999999999999996</v>
      </c>
      <c r="O5" s="311">
        <f>IF(O3="","",SUM(O3*N5))</f>
      </c>
      <c r="P5" s="312">
        <f>IF(P3="","",SUM(P3*N5))</f>
      </c>
      <c r="Q5" s="142"/>
      <c r="R5" s="344"/>
      <c r="S5" s="617" t="s">
        <v>233</v>
      </c>
      <c r="V5" s="617"/>
    </row>
    <row r="6" spans="1:22" ht="12.75" customHeight="1">
      <c r="A6" s="3" t="s">
        <v>32</v>
      </c>
      <c r="B6" s="618" t="s">
        <v>181</v>
      </c>
      <c r="C6" s="619"/>
      <c r="D6" s="620"/>
      <c r="E6" s="156">
        <f>IF(STAMMDATEN!$S$18="","",STAMMDATEN!$S$18)</f>
        <v>1</v>
      </c>
      <c r="F6" s="249">
        <v>5</v>
      </c>
      <c r="G6" s="156">
        <f>IF(STAMMDATEN!$T$18="","",STAMMDATEN!$T$18)</f>
        <v>1</v>
      </c>
      <c r="H6" s="256">
        <v>6</v>
      </c>
      <c r="I6" s="156">
        <f>IF(STAMMDATEN!$U$18="","",STAMMDATEN!$U$18)</f>
        <v>1</v>
      </c>
      <c r="J6" s="316">
        <v>7</v>
      </c>
      <c r="K6" s="365"/>
      <c r="L6" s="305"/>
      <c r="M6" s="322" t="s">
        <v>201</v>
      </c>
      <c r="N6" s="305">
        <f>STAMMDATEN!F29</f>
        <v>0.2</v>
      </c>
      <c r="O6" s="123">
        <f>IF(O3="","",SUM(O5*(1+$N6)))</f>
      </c>
      <c r="P6" s="123">
        <f>IF(P3="","",SUM(P5*(1+N6)))</f>
      </c>
      <c r="Q6" s="142"/>
      <c r="R6" s="344"/>
      <c r="S6" s="617"/>
      <c r="V6" s="617"/>
    </row>
    <row r="7" spans="1:22" ht="12.75">
      <c r="A7" s="144">
        <f>STAMMDATEN!F19</f>
        <v>0.15</v>
      </c>
      <c r="B7" s="169" t="s">
        <v>62</v>
      </c>
      <c r="C7" s="170"/>
      <c r="D7" s="43"/>
      <c r="E7" s="321">
        <f>IF(E8="","",SUM(E6*E8))</f>
        <v>0.25</v>
      </c>
      <c r="F7" s="164"/>
      <c r="G7" s="321">
        <f>IF(G8="","",SUM(G6*G8))</f>
        <v>0.1</v>
      </c>
      <c r="H7" s="164"/>
      <c r="I7" s="321">
        <f>IF(I8="","",SUM(I6*I8))</f>
        <v>0.04</v>
      </c>
      <c r="J7" s="165"/>
      <c r="K7" s="122"/>
      <c r="L7" s="122"/>
      <c r="M7" s="322" t="s">
        <v>202</v>
      </c>
      <c r="N7" s="305">
        <f>STAMMDATEN!F21</f>
        <v>0</v>
      </c>
      <c r="O7" s="123">
        <f>IF(O3="","",SUM(O6*(1+N7)))</f>
      </c>
      <c r="P7" s="124">
        <f>IF(P3="","",SUM(P6*(1+N7)))</f>
      </c>
      <c r="Q7" s="142"/>
      <c r="R7" s="345"/>
      <c r="S7" s="617"/>
      <c r="V7" s="617"/>
    </row>
    <row r="8" spans="1:22" ht="26.25" customHeight="1">
      <c r="A8" s="144">
        <f>STAMMDATEN!F20</f>
        <v>0.16</v>
      </c>
      <c r="B8" s="625">
        <f>STAMMDATEN!H20</f>
        <v>35886</v>
      </c>
      <c r="C8" s="626"/>
      <c r="D8" s="153" t="s">
        <v>145</v>
      </c>
      <c r="E8" s="29">
        <f>STAMMDATEN!$S$16</f>
        <v>0.25</v>
      </c>
      <c r="F8" s="317" t="s">
        <v>207</v>
      </c>
      <c r="G8" s="29">
        <f>STAMMDATEN!$T$16</f>
        <v>0.1</v>
      </c>
      <c r="H8" s="255" t="s">
        <v>28</v>
      </c>
      <c r="I8" s="29">
        <f>STAMMDATEN!$U$16</f>
        <v>0.04</v>
      </c>
      <c r="J8" s="255" t="s">
        <v>206</v>
      </c>
      <c r="K8" s="204"/>
      <c r="L8" s="204"/>
      <c r="M8" s="598" t="s">
        <v>183</v>
      </c>
      <c r="N8" s="599"/>
      <c r="O8" s="624" t="s">
        <v>184</v>
      </c>
      <c r="P8" s="624"/>
      <c r="Q8" s="342"/>
      <c r="R8" s="138"/>
      <c r="S8" s="617"/>
      <c r="V8" s="617"/>
    </row>
    <row r="9" spans="1:23" ht="12.75">
      <c r="A9" s="128"/>
      <c r="B9" s="128"/>
      <c r="C9" s="30" t="s">
        <v>50</v>
      </c>
      <c r="D9" s="413">
        <f>SUM(E9,G9,I9,K9)</f>
        <v>3</v>
      </c>
      <c r="E9" s="138">
        <f>IF(E8="","",1)</f>
        <v>1</v>
      </c>
      <c r="F9" s="128"/>
      <c r="G9" s="138">
        <f>IF(G8="","",1)</f>
        <v>1</v>
      </c>
      <c r="H9" s="128"/>
      <c r="I9" s="138">
        <f>IF(I8="","",1)</f>
        <v>1</v>
      </c>
      <c r="J9" s="128"/>
      <c r="K9" s="209" t="s">
        <v>6</v>
      </c>
      <c r="L9" s="210" t="s">
        <v>67</v>
      </c>
      <c r="M9" s="209" t="s">
        <v>6</v>
      </c>
      <c r="N9" s="210" t="s">
        <v>67</v>
      </c>
      <c r="O9" s="209" t="s">
        <v>6</v>
      </c>
      <c r="P9" s="210" t="s">
        <v>67</v>
      </c>
      <c r="Q9" s="342"/>
      <c r="R9" s="168" t="str">
        <f ca="1">CELL("dateiname")</f>
        <v>D:\HOAI\aktuell16\[DEM§16_6.xls]BITTE LESEN !</v>
      </c>
      <c r="S9" s="617"/>
      <c r="V9" s="617"/>
      <c r="W9" s="389" t="s">
        <v>237</v>
      </c>
    </row>
    <row r="10" spans="1:23" ht="12.75">
      <c r="A10" s="128"/>
      <c r="B10" s="128"/>
      <c r="C10" s="30" t="s">
        <v>69</v>
      </c>
      <c r="D10" s="30" t="s">
        <v>51</v>
      </c>
      <c r="E10" s="346"/>
      <c r="F10" s="43"/>
      <c r="G10" s="30"/>
      <c r="H10" s="30"/>
      <c r="I10" s="30"/>
      <c r="J10" s="30"/>
      <c r="K10" s="597" t="s">
        <v>153</v>
      </c>
      <c r="L10" s="597"/>
      <c r="M10" s="203">
        <f>N6</f>
        <v>0.2</v>
      </c>
      <c r="N10" s="203">
        <f>N6</f>
        <v>0.2</v>
      </c>
      <c r="O10" s="200">
        <f>N7</f>
        <v>0</v>
      </c>
      <c r="P10" s="200">
        <f>N7</f>
        <v>0</v>
      </c>
      <c r="Q10" s="550" t="s">
        <v>154</v>
      </c>
      <c r="R10" s="138" t="s">
        <v>157</v>
      </c>
      <c r="S10" s="617"/>
      <c r="T10" s="222" t="s">
        <v>32</v>
      </c>
      <c r="U10" s="421" t="s">
        <v>224</v>
      </c>
      <c r="V10" s="617"/>
      <c r="W10" s="389" t="s">
        <v>231</v>
      </c>
    </row>
    <row r="11" spans="1:23" ht="12.75" customHeight="1">
      <c r="A11" s="147" t="str">
        <f aca="true" t="shared" si="0" ref="A11:A30">IF(C11="","",IF($O$2=0,$P$1,IF($P$2&lt;=D11,$P$1,$O$1)))</f>
        <v>C</v>
      </c>
      <c r="B11" s="33">
        <f>IF(C11="","",IF(SUM(E11,G11,I11)=0,"",IF($B$8&lt;=D11,$A$8,$A$7)))</f>
      </c>
      <c r="C11" s="134">
        <f>STAMMDATEN!L20</f>
        <v>1</v>
      </c>
      <c r="D11" s="129">
        <f>IF(C11=0,"",STAMMDATEN!N20)</f>
        <v>35920</v>
      </c>
      <c r="E11" s="131">
        <f>IF($E$6="","",IF($C11="","",IF(STAMMDATEN!S20="",E10,STAMMDATEN!S20)))</f>
        <v>0</v>
      </c>
      <c r="F11" s="132">
        <f>IF($F$3=0,"",IF(E11="","",IF($C11=0,"",IF($P$3="",(F$4*E11),IF($O$3="",(F$5*E11),IF($D11&gt;=$P$2,(F$5*E11),(F$4*E11)))))))</f>
      </c>
      <c r="G11" s="11">
        <f>IF($G$6="","",IF($C11="","",IF(STAMMDATEN!T20="",G10,STAMMDATEN!T20)))</f>
        <v>0</v>
      </c>
      <c r="H11" s="130">
        <f>IF($F$3=0,"",IF(G11="","",IF($C11=0,"",IF($P$3="",(H$4*G11),IF($O$3="",(H$5*G11),IF($D11&gt;=$P$2,(H$5*G11),(H$4*G11)))))))</f>
      </c>
      <c r="I11" s="131">
        <f>IF($I$6="","",IF($C11="","",IF(STAMMDATEN!U20="",I10,STAMMDATEN!U20)))</f>
        <v>0</v>
      </c>
      <c r="J11" s="132">
        <f>IF($F$3=0,"",IF(I11="","",IF($C11=0,"",IF($P$3="",(J$4*I11),IF($O$3="",(J$5*I11),IF($D11&gt;=$P$2,(J$5*I11),(J$4*I11)))))))</f>
      </c>
      <c r="K11" s="130">
        <f aca="true" t="shared" si="1" ref="K11:K30">IF($A11=$C$4,SUM($F11,$H11,$J11),"")</f>
      </c>
      <c r="L11" s="130">
        <f aca="true" t="shared" si="2" ref="L11:L30">IF($A11=$C$5,SUM($F11,$H11,$J11),"")</f>
        <v>0</v>
      </c>
      <c r="M11" s="132">
        <f aca="true" t="shared" si="3" ref="M11:M30">IF($A11=$C$4,SUM(K11:L11)*$M$10,"")</f>
      </c>
      <c r="N11" s="132">
        <f aca="true" t="shared" si="4" ref="N11:N30">IF($A11=$C$5,SUM(L11:M11)*$N$10,"")</f>
        <v>0</v>
      </c>
      <c r="O11" s="130">
        <f aca="true" t="shared" si="5" ref="O11:O30">IF($A11=$C$4,SUM(K11:N11)*$O$10,"")</f>
      </c>
      <c r="P11" s="130">
        <f aca="true" t="shared" si="6" ref="P11:P30">IF($A11=$C$5,SUM(K11:N11)*$P$10,"")</f>
        <v>0</v>
      </c>
      <c r="Q11" s="132">
        <f>SUM(K11:P11)</f>
        <v>0</v>
      </c>
      <c r="R11" s="387" t="s">
        <v>213</v>
      </c>
      <c r="S11" s="55"/>
      <c r="T11" s="378">
        <f aca="true" t="shared" si="7" ref="T11:T29">IF($B11="","",($B11*SUM(Q11:Q11)))</f>
      </c>
      <c r="U11" s="422"/>
      <c r="V11" s="382"/>
      <c r="W11" s="389" t="s">
        <v>230</v>
      </c>
    </row>
    <row r="12" spans="1:23" ht="12.75">
      <c r="A12" s="147" t="str">
        <f t="shared" si="0"/>
        <v>C</v>
      </c>
      <c r="B12" s="33">
        <f aca="true" t="shared" si="8" ref="B12:B30">IF(C12="","",IF(SUM(E12,G12,I12)=0,"",IF(SUM(E11,G11,I11)/$K$38=1,B11,IF($B$8&lt;=D12,$A$8,$A$7))))</f>
      </c>
      <c r="C12" s="134">
        <f>STAMMDATEN!L21</f>
        <v>2</v>
      </c>
      <c r="D12" s="129">
        <f>IF(C12="","",IF(SUM(E11,G11,I11)/$D$9=1,D11,STAMMDATEN!N21))</f>
        <v>35921</v>
      </c>
      <c r="E12" s="131">
        <f>IF($E$6="","",IF($C12="","",IF(STAMMDATEN!S21="",E11,STAMMDATEN!S21)))</f>
        <v>0</v>
      </c>
      <c r="F12" s="132">
        <f aca="true" t="shared" si="9" ref="F12:F30">IF($F$3=0,"",IF(E12="","",IF($C12=0,"",IF($P$3="",(F$4*E12),IF($O$3="",(F$5*E12),IF($D12&gt;=$P$2,(F$5*E12),(F$4*E12)))))))</f>
      </c>
      <c r="G12" s="11">
        <f>IF($G$6="","",IF($C12="","",IF(STAMMDATEN!T21="",G11,STAMMDATEN!T21)))</f>
        <v>0</v>
      </c>
      <c r="H12" s="130">
        <f aca="true" t="shared" si="10" ref="H12:H30">IF($F$3=0,"",IF(G12="","",IF($C12=0,"",IF($P$3="",(H$4*G12),IF($O$3="",(H$5*G12),IF($D12&gt;=$P$2,(H$5*G12),(H$4*G12)))))))</f>
      </c>
      <c r="I12" s="131">
        <f>IF($I$6="","",IF($C12="","",IF(STAMMDATEN!U21="",I11,STAMMDATEN!U21)))</f>
        <v>0</v>
      </c>
      <c r="J12" s="132">
        <f aca="true" t="shared" si="11" ref="J12:J30">IF($F$3=0,"",IF(I12="","",IF($C12=0,"",IF($P$3="",(J$4*I12),IF($O$3="",(J$5*I12),IF($D12&gt;=$P$2,(J$5*I12),(J$4*I12)))))))</f>
      </c>
      <c r="K12" s="130">
        <f t="shared" si="1"/>
      </c>
      <c r="L12" s="130">
        <f t="shared" si="2"/>
        <v>0</v>
      </c>
      <c r="M12" s="132">
        <f t="shared" si="3"/>
      </c>
      <c r="N12" s="132">
        <f t="shared" si="4"/>
        <v>0</v>
      </c>
      <c r="O12" s="130">
        <f t="shared" si="5"/>
      </c>
      <c r="P12" s="130">
        <f t="shared" si="6"/>
        <v>0</v>
      </c>
      <c r="Q12" s="132">
        <f>SUM(K12:P12)</f>
        <v>0</v>
      </c>
      <c r="R12" s="132">
        <f>IF($C12="","",Q$11)</f>
        <v>0</v>
      </c>
      <c r="S12" s="138">
        <f>IF($B12="","",IF(SUM($E11,$G11,$I11)/$D$9=1,"",IF(SUM($E12,$G12,$I12)/$D$9=1,1,"")))</f>
      </c>
      <c r="T12" s="378">
        <f t="shared" si="7"/>
      </c>
      <c r="U12" s="423">
        <f aca="true" t="shared" si="12" ref="U12:U30">IF($B12="","",IF(T11="","",IF($C12=$C11,"",IF(SUM($E11,$G11,$I11)/$D$9=1,"",SUM($B12-$B11)*SUM(Q11:Q11)))))</f>
      </c>
      <c r="V12" s="381">
        <f>IF($B12="","",IF($B11=$A$8,"",IF($B12=$B11,"",$C12)))</f>
      </c>
      <c r="W12" s="221">
        <f>IF(V12=$C12,$D12,"")</f>
      </c>
    </row>
    <row r="13" spans="1:23" ht="12.75">
      <c r="A13" s="147">
        <f t="shared" si="0"/>
      </c>
      <c r="B13" s="33">
        <f t="shared" si="8"/>
      </c>
      <c r="C13" s="134">
        <f>STAMMDATEN!L22</f>
      </c>
      <c r="D13" s="129">
        <f>IF(C13="","",IF(SUM(E12,G12,I12)/$D$9=1,D12,STAMMDATEN!N22))</f>
      </c>
      <c r="E13" s="131">
        <f>IF($E$6="","",IF($C13="","",IF(STAMMDATEN!S22="",E12,STAMMDATEN!S22)))</f>
      </c>
      <c r="F13" s="132">
        <f t="shared" si="9"/>
      </c>
      <c r="G13" s="11">
        <f>IF($G$6="","",IF($C13="","",IF(STAMMDATEN!T22="",G12,STAMMDATEN!T22)))</f>
      </c>
      <c r="H13" s="130">
        <f t="shared" si="10"/>
      </c>
      <c r="I13" s="131">
        <f>IF($I$6="","",IF($C13="","",IF(STAMMDATEN!U22="",I12,STAMMDATEN!U22)))</f>
      </c>
      <c r="J13" s="132">
        <f t="shared" si="11"/>
      </c>
      <c r="K13" s="130">
        <f t="shared" si="1"/>
      </c>
      <c r="L13" s="130">
        <f t="shared" si="2"/>
      </c>
      <c r="M13" s="132">
        <f t="shared" si="3"/>
      </c>
      <c r="N13" s="132">
        <f t="shared" si="4"/>
      </c>
      <c r="O13" s="130">
        <f t="shared" si="5"/>
      </c>
      <c r="P13" s="130">
        <f t="shared" si="6"/>
      </c>
      <c r="Q13" s="132">
        <f>SUM(K13:P13)</f>
        <v>0</v>
      </c>
      <c r="R13" s="132">
        <f>IF($C13="","",MAX($Q$11:Q12))</f>
      </c>
      <c r="S13" s="138">
        <f aca="true" t="shared" si="13" ref="S13:S30">IF($B13="","",IF(SUM($E12,$G12,$I12)/$D$9=1,"",IF(SUM($E13,$G13,$I13)/$D$9=1,1,"")))</f>
      </c>
      <c r="T13" s="378">
        <f t="shared" si="7"/>
      </c>
      <c r="U13" s="423">
        <f t="shared" si="12"/>
      </c>
      <c r="V13" s="381">
        <f aca="true" t="shared" si="14" ref="V13:V30">IF($B13="","",IF($B12=$A$8,"",IF($B13=$B12,"",$C13)))</f>
      </c>
      <c r="W13" s="221">
        <f aca="true" t="shared" si="15" ref="W13:W30">IF(V13=$C13,$D13,"")</f>
      </c>
    </row>
    <row r="14" spans="1:23" ht="12.75">
      <c r="A14" s="147">
        <f t="shared" si="0"/>
      </c>
      <c r="B14" s="33">
        <f t="shared" si="8"/>
      </c>
      <c r="C14" s="134">
        <f>STAMMDATEN!L23</f>
      </c>
      <c r="D14" s="129">
        <f>IF(C14="","",IF(SUM(E13,G13,I13)/$D$9=1,D13,STAMMDATEN!N23))</f>
      </c>
      <c r="E14" s="131">
        <f>IF($E$6="","",IF($C14="","",IF(STAMMDATEN!S23="",E13,STAMMDATEN!S23)))</f>
      </c>
      <c r="F14" s="132">
        <f t="shared" si="9"/>
      </c>
      <c r="G14" s="11">
        <f>IF($G$6="","",IF($C14="","",IF(STAMMDATEN!T23="",G13,STAMMDATEN!T23)))</f>
      </c>
      <c r="H14" s="130">
        <f t="shared" si="10"/>
      </c>
      <c r="I14" s="131">
        <f>IF($I$6="","",IF($C14="","",IF(STAMMDATEN!U23="",I13,STAMMDATEN!U23)))</f>
      </c>
      <c r="J14" s="132">
        <f t="shared" si="11"/>
      </c>
      <c r="K14" s="130">
        <f t="shared" si="1"/>
      </c>
      <c r="L14" s="130">
        <f t="shared" si="2"/>
      </c>
      <c r="M14" s="132">
        <f t="shared" si="3"/>
      </c>
      <c r="N14" s="132">
        <f t="shared" si="4"/>
      </c>
      <c r="O14" s="130">
        <f t="shared" si="5"/>
      </c>
      <c r="P14" s="130">
        <f t="shared" si="6"/>
      </c>
      <c r="Q14" s="132">
        <f aca="true" t="shared" si="16" ref="Q14:Q30">SUM(K14:P14)</f>
        <v>0</v>
      </c>
      <c r="R14" s="132">
        <f>IF($C14="","",MAX($Q$11:Q13))</f>
      </c>
      <c r="S14" s="138">
        <f t="shared" si="13"/>
      </c>
      <c r="T14" s="378">
        <f t="shared" si="7"/>
      </c>
      <c r="U14" s="423">
        <f t="shared" si="12"/>
      </c>
      <c r="V14" s="381">
        <f t="shared" si="14"/>
      </c>
      <c r="W14" s="221">
        <f t="shared" si="15"/>
      </c>
    </row>
    <row r="15" spans="1:23" ht="12.75">
      <c r="A15" s="147">
        <f t="shared" si="0"/>
      </c>
      <c r="B15" s="33">
        <f t="shared" si="8"/>
      </c>
      <c r="C15" s="134">
        <f>STAMMDATEN!L24</f>
      </c>
      <c r="D15" s="129">
        <f>IF(C15="","",IF(SUM(E14,G14,I14)/$D$9=1,D14,STAMMDATEN!N24))</f>
      </c>
      <c r="E15" s="131">
        <f>IF($E$6="","",IF($C15="","",IF(STAMMDATEN!S24="",E14,STAMMDATEN!S24)))</f>
      </c>
      <c r="F15" s="132">
        <f t="shared" si="9"/>
      </c>
      <c r="G15" s="11">
        <f>IF($G$6="","",IF($C15="","",IF(STAMMDATEN!T24="",G14,STAMMDATEN!T24)))</f>
      </c>
      <c r="H15" s="130">
        <f t="shared" si="10"/>
      </c>
      <c r="I15" s="131">
        <f>IF($I$6="","",IF($C15="","",IF(STAMMDATEN!U24="",I14,STAMMDATEN!U24)))</f>
      </c>
      <c r="J15" s="132">
        <f t="shared" si="11"/>
      </c>
      <c r="K15" s="130">
        <f t="shared" si="1"/>
      </c>
      <c r="L15" s="130">
        <f t="shared" si="2"/>
      </c>
      <c r="M15" s="132">
        <f t="shared" si="3"/>
      </c>
      <c r="N15" s="132">
        <f t="shared" si="4"/>
      </c>
      <c r="O15" s="130">
        <f t="shared" si="5"/>
      </c>
      <c r="P15" s="130">
        <f t="shared" si="6"/>
      </c>
      <c r="Q15" s="132">
        <f t="shared" si="16"/>
        <v>0</v>
      </c>
      <c r="R15" s="132">
        <f>IF($C15="","",MAX($Q$11:Q14))</f>
      </c>
      <c r="S15" s="138">
        <f t="shared" si="13"/>
      </c>
      <c r="T15" s="378">
        <f t="shared" si="7"/>
      </c>
      <c r="U15" s="423">
        <f t="shared" si="12"/>
      </c>
      <c r="V15" s="381">
        <f t="shared" si="14"/>
      </c>
      <c r="W15" s="221">
        <f t="shared" si="15"/>
      </c>
    </row>
    <row r="16" spans="1:23" ht="12.75">
      <c r="A16" s="147">
        <f t="shared" si="0"/>
      </c>
      <c r="B16" s="33">
        <f t="shared" si="8"/>
      </c>
      <c r="C16" s="134">
        <f>STAMMDATEN!L25</f>
      </c>
      <c r="D16" s="129">
        <f>IF(C16="","",IF(SUM(E15,G15,I15)/$D$9=1,D15,STAMMDATEN!N25))</f>
      </c>
      <c r="E16" s="131">
        <f>IF($E$6="","",IF($C16="","",IF(STAMMDATEN!S25="",E15,STAMMDATEN!S25)))</f>
      </c>
      <c r="F16" s="132">
        <f t="shared" si="9"/>
      </c>
      <c r="G16" s="11">
        <f>IF($G$6="","",IF($C16="","",IF(STAMMDATEN!T25="",G15,STAMMDATEN!T25)))</f>
      </c>
      <c r="H16" s="130">
        <f t="shared" si="10"/>
      </c>
      <c r="I16" s="131">
        <f>IF($I$6="","",IF($C16="","",IF(STAMMDATEN!U25="",I15,STAMMDATEN!U25)))</f>
      </c>
      <c r="J16" s="132">
        <f t="shared" si="11"/>
      </c>
      <c r="K16" s="130">
        <f t="shared" si="1"/>
      </c>
      <c r="L16" s="130">
        <f t="shared" si="2"/>
      </c>
      <c r="M16" s="132">
        <f t="shared" si="3"/>
      </c>
      <c r="N16" s="132">
        <f t="shared" si="4"/>
      </c>
      <c r="O16" s="130">
        <f t="shared" si="5"/>
      </c>
      <c r="P16" s="130">
        <f t="shared" si="6"/>
      </c>
      <c r="Q16" s="132">
        <f t="shared" si="16"/>
        <v>0</v>
      </c>
      <c r="R16" s="132">
        <f>IF($C16="","",MAX($Q$11:Q15))</f>
      </c>
      <c r="S16" s="138">
        <f t="shared" si="13"/>
      </c>
      <c r="T16" s="378">
        <f t="shared" si="7"/>
      </c>
      <c r="U16" s="423">
        <f t="shared" si="12"/>
      </c>
      <c r="V16" s="381">
        <f t="shared" si="14"/>
      </c>
      <c r="W16" s="221">
        <f t="shared" si="15"/>
      </c>
    </row>
    <row r="17" spans="1:23" ht="12.75">
      <c r="A17" s="147">
        <f t="shared" si="0"/>
      </c>
      <c r="B17" s="33">
        <f t="shared" si="8"/>
      </c>
      <c r="C17" s="134">
        <f>STAMMDATEN!L26</f>
      </c>
      <c r="D17" s="129">
        <f>IF(C17="","",IF(SUM(E16,G16,I16)/$D$9=1,D16,STAMMDATEN!N26))</f>
      </c>
      <c r="E17" s="131">
        <f>IF($E$6="","",IF($C17="","",IF(STAMMDATEN!S26="",E16,STAMMDATEN!S26)))</f>
      </c>
      <c r="F17" s="132">
        <f t="shared" si="9"/>
      </c>
      <c r="G17" s="11">
        <f>IF($G$6="","",IF($C17="","",IF(STAMMDATEN!T26="",G16,STAMMDATEN!T26)))</f>
      </c>
      <c r="H17" s="130">
        <f t="shared" si="10"/>
      </c>
      <c r="I17" s="131">
        <f>IF($I$6="","",IF($C17="","",IF(STAMMDATEN!U26="",I16,STAMMDATEN!U26)))</f>
      </c>
      <c r="J17" s="132">
        <f t="shared" si="11"/>
      </c>
      <c r="K17" s="130">
        <f t="shared" si="1"/>
      </c>
      <c r="L17" s="130">
        <f t="shared" si="2"/>
      </c>
      <c r="M17" s="132">
        <f t="shared" si="3"/>
      </c>
      <c r="N17" s="132">
        <f t="shared" si="4"/>
      </c>
      <c r="O17" s="130">
        <f t="shared" si="5"/>
      </c>
      <c r="P17" s="130">
        <f t="shared" si="6"/>
      </c>
      <c r="Q17" s="132">
        <f t="shared" si="16"/>
        <v>0</v>
      </c>
      <c r="R17" s="132">
        <f>IF($C17="","",MAX($Q$11:Q16))</f>
      </c>
      <c r="S17" s="138">
        <f t="shared" si="13"/>
      </c>
      <c r="T17" s="378">
        <f t="shared" si="7"/>
      </c>
      <c r="U17" s="423">
        <f t="shared" si="12"/>
      </c>
      <c r="V17" s="381">
        <f t="shared" si="14"/>
      </c>
      <c r="W17" s="221">
        <f t="shared" si="15"/>
      </c>
    </row>
    <row r="18" spans="1:23" ht="12.75">
      <c r="A18" s="147">
        <f t="shared" si="0"/>
      </c>
      <c r="B18" s="33">
        <f t="shared" si="8"/>
      </c>
      <c r="C18" s="134">
        <f>STAMMDATEN!L27</f>
      </c>
      <c r="D18" s="129">
        <f>IF(C18="","",IF(SUM(E17,G17,I17)/$D$9=1,D17,STAMMDATEN!N27))</f>
      </c>
      <c r="E18" s="131">
        <f>IF($E$6="","",IF($C18="","",IF(STAMMDATEN!S27="",E17,STAMMDATEN!S27)))</f>
      </c>
      <c r="F18" s="132">
        <f t="shared" si="9"/>
      </c>
      <c r="G18" s="11">
        <f>IF($G$6="","",IF($C18="","",IF(STAMMDATEN!T27="",G17,STAMMDATEN!T27)))</f>
      </c>
      <c r="H18" s="130">
        <f t="shared" si="10"/>
      </c>
      <c r="I18" s="131">
        <f>IF($I$6="","",IF($C18="","",IF(STAMMDATEN!U27="",I17,STAMMDATEN!U27)))</f>
      </c>
      <c r="J18" s="132">
        <f t="shared" si="11"/>
      </c>
      <c r="K18" s="130">
        <f t="shared" si="1"/>
      </c>
      <c r="L18" s="130">
        <f t="shared" si="2"/>
      </c>
      <c r="M18" s="132">
        <f t="shared" si="3"/>
      </c>
      <c r="N18" s="132">
        <f t="shared" si="4"/>
      </c>
      <c r="O18" s="130">
        <f t="shared" si="5"/>
      </c>
      <c r="P18" s="130">
        <f t="shared" si="6"/>
      </c>
      <c r="Q18" s="132">
        <f t="shared" si="16"/>
        <v>0</v>
      </c>
      <c r="R18" s="132">
        <f>IF($C18="","",MAX($Q$11:Q17))</f>
      </c>
      <c r="S18" s="138">
        <f t="shared" si="13"/>
      </c>
      <c r="T18" s="378">
        <f t="shared" si="7"/>
      </c>
      <c r="U18" s="423">
        <f t="shared" si="12"/>
      </c>
      <c r="V18" s="381">
        <f t="shared" si="14"/>
      </c>
      <c r="W18" s="221">
        <f t="shared" si="15"/>
      </c>
    </row>
    <row r="19" spans="1:23" ht="12.75">
      <c r="A19" s="147">
        <f t="shared" si="0"/>
      </c>
      <c r="B19" s="33">
        <f t="shared" si="8"/>
      </c>
      <c r="C19" s="134">
        <f>STAMMDATEN!L28</f>
      </c>
      <c r="D19" s="129">
        <f>IF(C19="","",IF(SUM(E18,G18,I18)/$D$9=1,D18,STAMMDATEN!N28))</f>
      </c>
      <c r="E19" s="131">
        <f>IF($E$6="","",IF($C19="","",IF(STAMMDATEN!S28="",E18,STAMMDATEN!S28)))</f>
      </c>
      <c r="F19" s="132">
        <f t="shared" si="9"/>
      </c>
      <c r="G19" s="11">
        <f>IF($G$6="","",IF($C19="","",IF(STAMMDATEN!T28="",G18,STAMMDATEN!T28)))</f>
      </c>
      <c r="H19" s="130">
        <f t="shared" si="10"/>
      </c>
      <c r="I19" s="131">
        <f>IF($I$6="","",IF($C19="","",IF(STAMMDATEN!U28="",I18,STAMMDATEN!U28)))</f>
      </c>
      <c r="J19" s="132">
        <f t="shared" si="11"/>
      </c>
      <c r="K19" s="130">
        <f t="shared" si="1"/>
      </c>
      <c r="L19" s="130">
        <f t="shared" si="2"/>
      </c>
      <c r="M19" s="132">
        <f t="shared" si="3"/>
      </c>
      <c r="N19" s="132">
        <f t="shared" si="4"/>
      </c>
      <c r="O19" s="130">
        <f t="shared" si="5"/>
      </c>
      <c r="P19" s="130">
        <f t="shared" si="6"/>
      </c>
      <c r="Q19" s="132">
        <f t="shared" si="16"/>
        <v>0</v>
      </c>
      <c r="R19" s="132">
        <f>IF($C19="","",MAX($Q$11:Q18))</f>
      </c>
      <c r="S19" s="138">
        <f t="shared" si="13"/>
      </c>
      <c r="T19" s="378">
        <f t="shared" si="7"/>
      </c>
      <c r="U19" s="423">
        <f t="shared" si="12"/>
      </c>
      <c r="V19" s="381">
        <f t="shared" si="14"/>
      </c>
      <c r="W19" s="221">
        <f t="shared" si="15"/>
      </c>
    </row>
    <row r="20" spans="1:23" ht="12.75">
      <c r="A20" s="147">
        <f t="shared" si="0"/>
      </c>
      <c r="B20" s="33">
        <f t="shared" si="8"/>
      </c>
      <c r="C20" s="134">
        <f>STAMMDATEN!L29</f>
      </c>
      <c r="D20" s="129">
        <f>IF(C20="","",IF(SUM(E19,G19,I19)/$D$9=1,D19,STAMMDATEN!N29))</f>
      </c>
      <c r="E20" s="131">
        <f>IF($E$6="","",IF($C20="","",IF(STAMMDATEN!S29="",E19,STAMMDATEN!S29)))</f>
      </c>
      <c r="F20" s="132">
        <f t="shared" si="9"/>
      </c>
      <c r="G20" s="11">
        <f>IF($G$6="","",IF($C20="","",IF(STAMMDATEN!T29="",G19,STAMMDATEN!T29)))</f>
      </c>
      <c r="H20" s="130">
        <f t="shared" si="10"/>
      </c>
      <c r="I20" s="131">
        <f>IF($I$6="","",IF($C20="","",IF(STAMMDATEN!U29="",I19,STAMMDATEN!U29)))</f>
      </c>
      <c r="J20" s="132">
        <f t="shared" si="11"/>
      </c>
      <c r="K20" s="130">
        <f t="shared" si="1"/>
      </c>
      <c r="L20" s="130">
        <f t="shared" si="2"/>
      </c>
      <c r="M20" s="132">
        <f t="shared" si="3"/>
      </c>
      <c r="N20" s="132">
        <f t="shared" si="4"/>
      </c>
      <c r="O20" s="130">
        <f t="shared" si="5"/>
      </c>
      <c r="P20" s="130">
        <f t="shared" si="6"/>
      </c>
      <c r="Q20" s="132">
        <f t="shared" si="16"/>
        <v>0</v>
      </c>
      <c r="R20" s="132">
        <f>IF($C20="","",MAX($Q$11:Q19))</f>
      </c>
      <c r="S20" s="138">
        <f t="shared" si="13"/>
      </c>
      <c r="T20" s="378">
        <f t="shared" si="7"/>
      </c>
      <c r="U20" s="423">
        <f t="shared" si="12"/>
      </c>
      <c r="V20" s="381">
        <f t="shared" si="14"/>
      </c>
      <c r="W20" s="221">
        <f t="shared" si="15"/>
      </c>
    </row>
    <row r="21" spans="1:23" ht="12.75">
      <c r="A21" s="147">
        <f t="shared" si="0"/>
      </c>
      <c r="B21" s="33">
        <f t="shared" si="8"/>
      </c>
      <c r="C21" s="134">
        <f>STAMMDATEN!L30</f>
      </c>
      <c r="D21" s="129">
        <f>IF(C21="","",IF(SUM(E20,G20,I20)/$D$9=1,D20,STAMMDATEN!N30))</f>
      </c>
      <c r="E21" s="131">
        <f>IF($E$6="","",IF($C21="","",IF(STAMMDATEN!S30="",E20,STAMMDATEN!S30)))</f>
      </c>
      <c r="F21" s="132">
        <f t="shared" si="9"/>
      </c>
      <c r="G21" s="11">
        <f>IF($G$6="","",IF($C21="","",IF(STAMMDATEN!T30="",G20,STAMMDATEN!T30)))</f>
      </c>
      <c r="H21" s="130">
        <f t="shared" si="10"/>
      </c>
      <c r="I21" s="131">
        <f>IF($I$6="","",IF($C21="","",IF(STAMMDATEN!U30="",I20,STAMMDATEN!U30)))</f>
      </c>
      <c r="J21" s="132">
        <f t="shared" si="11"/>
      </c>
      <c r="K21" s="130">
        <f t="shared" si="1"/>
      </c>
      <c r="L21" s="130">
        <f t="shared" si="2"/>
      </c>
      <c r="M21" s="132">
        <f t="shared" si="3"/>
      </c>
      <c r="N21" s="132">
        <f t="shared" si="4"/>
      </c>
      <c r="O21" s="130">
        <f t="shared" si="5"/>
      </c>
      <c r="P21" s="130">
        <f t="shared" si="6"/>
      </c>
      <c r="Q21" s="132">
        <f t="shared" si="16"/>
        <v>0</v>
      </c>
      <c r="R21" s="132">
        <f>IF($C21="","",MAX($Q$11:Q20))</f>
      </c>
      <c r="S21" s="138">
        <f t="shared" si="13"/>
      </c>
      <c r="T21" s="378">
        <f t="shared" si="7"/>
      </c>
      <c r="U21" s="423">
        <f t="shared" si="12"/>
      </c>
      <c r="V21" s="381">
        <f t="shared" si="14"/>
      </c>
      <c r="W21" s="221">
        <f t="shared" si="15"/>
      </c>
    </row>
    <row r="22" spans="1:23" ht="12.75">
      <c r="A22" s="147">
        <f t="shared" si="0"/>
      </c>
      <c r="B22" s="33">
        <f t="shared" si="8"/>
      </c>
      <c r="C22" s="134">
        <f>STAMMDATEN!L31</f>
      </c>
      <c r="D22" s="129">
        <f>IF(C22="","",IF(SUM(E21,G21,I21)/$D$9=1,D21,STAMMDATEN!N31))</f>
      </c>
      <c r="E22" s="131">
        <f>IF($E$6="","",IF($C22="","",IF(STAMMDATEN!S31="",E21,STAMMDATEN!S31)))</f>
      </c>
      <c r="F22" s="132">
        <f t="shared" si="9"/>
      </c>
      <c r="G22" s="11">
        <f>IF($G$6="","",IF($C22="","",IF(STAMMDATEN!T31="",G21,STAMMDATEN!T31)))</f>
      </c>
      <c r="H22" s="130">
        <f t="shared" si="10"/>
      </c>
      <c r="I22" s="131">
        <f>IF($I$6="","",IF($C22="","",IF(STAMMDATEN!U31="",I21,STAMMDATEN!U31)))</f>
      </c>
      <c r="J22" s="132">
        <f t="shared" si="11"/>
      </c>
      <c r="K22" s="130">
        <f t="shared" si="1"/>
      </c>
      <c r="L22" s="130">
        <f t="shared" si="2"/>
      </c>
      <c r="M22" s="132">
        <f t="shared" si="3"/>
      </c>
      <c r="N22" s="132">
        <f t="shared" si="4"/>
      </c>
      <c r="O22" s="130">
        <f t="shared" si="5"/>
      </c>
      <c r="P22" s="130">
        <f t="shared" si="6"/>
      </c>
      <c r="Q22" s="132">
        <f t="shared" si="16"/>
        <v>0</v>
      </c>
      <c r="R22" s="132">
        <f>IF($C22="","",MAX($Q$11:Q21))</f>
      </c>
      <c r="S22" s="138">
        <f t="shared" si="13"/>
      </c>
      <c r="T22" s="378">
        <f t="shared" si="7"/>
      </c>
      <c r="U22" s="423">
        <f t="shared" si="12"/>
      </c>
      <c r="V22" s="381">
        <f t="shared" si="14"/>
      </c>
      <c r="W22" s="221">
        <f t="shared" si="15"/>
      </c>
    </row>
    <row r="23" spans="1:23" ht="12.75">
      <c r="A23" s="147">
        <f t="shared" si="0"/>
      </c>
      <c r="B23" s="33">
        <f t="shared" si="8"/>
      </c>
      <c r="C23" s="134">
        <f>STAMMDATEN!L32</f>
      </c>
      <c r="D23" s="129">
        <f>IF(C23="","",IF(SUM(E22,G22,I22)/$D$9=1,D22,STAMMDATEN!N32))</f>
      </c>
      <c r="E23" s="131">
        <f>IF($E$6="","",IF($C23="","",IF(STAMMDATEN!S32="",E22,STAMMDATEN!S32)))</f>
      </c>
      <c r="F23" s="132">
        <f t="shared" si="9"/>
      </c>
      <c r="G23" s="11">
        <f>IF($G$6="","",IF($C23="","",IF(STAMMDATEN!T32="",G22,STAMMDATEN!T32)))</f>
      </c>
      <c r="H23" s="130">
        <f t="shared" si="10"/>
      </c>
      <c r="I23" s="131">
        <f>IF($I$6="","",IF($C23="","",IF(STAMMDATEN!U32="",I22,STAMMDATEN!U32)))</f>
      </c>
      <c r="J23" s="132">
        <f t="shared" si="11"/>
      </c>
      <c r="K23" s="130">
        <f t="shared" si="1"/>
      </c>
      <c r="L23" s="130">
        <f t="shared" si="2"/>
      </c>
      <c r="M23" s="132">
        <f t="shared" si="3"/>
      </c>
      <c r="N23" s="132">
        <f t="shared" si="4"/>
      </c>
      <c r="O23" s="130">
        <f t="shared" si="5"/>
      </c>
      <c r="P23" s="130">
        <f t="shared" si="6"/>
      </c>
      <c r="Q23" s="132">
        <f t="shared" si="16"/>
        <v>0</v>
      </c>
      <c r="R23" s="132">
        <f>IF($C23="","",MAX($Q$11:Q22))</f>
      </c>
      <c r="S23" s="138">
        <f t="shared" si="13"/>
      </c>
      <c r="T23" s="378">
        <f t="shared" si="7"/>
      </c>
      <c r="U23" s="423">
        <f t="shared" si="12"/>
      </c>
      <c r="V23" s="381">
        <f t="shared" si="14"/>
      </c>
      <c r="W23" s="221">
        <f t="shared" si="15"/>
      </c>
    </row>
    <row r="24" spans="1:23" ht="12.75">
      <c r="A24" s="147">
        <f t="shared" si="0"/>
      </c>
      <c r="B24" s="33">
        <f t="shared" si="8"/>
      </c>
      <c r="C24" s="134">
        <f>STAMMDATEN!L33</f>
      </c>
      <c r="D24" s="129">
        <f>IF(C24="","",IF(SUM(E23,G23,I23)/$D$9=1,D23,STAMMDATEN!N33))</f>
      </c>
      <c r="E24" s="131">
        <f>IF($E$6="","",IF($C24="","",IF(STAMMDATEN!S33="",E23,STAMMDATEN!S33)))</f>
      </c>
      <c r="F24" s="132">
        <f t="shared" si="9"/>
      </c>
      <c r="G24" s="11">
        <f>IF($G$6="","",IF($C24="","",IF(STAMMDATEN!T33="",G23,STAMMDATEN!T33)))</f>
      </c>
      <c r="H24" s="130">
        <f t="shared" si="10"/>
      </c>
      <c r="I24" s="131">
        <f>IF($I$6="","",IF($C24="","",IF(STAMMDATEN!U33="",I23,STAMMDATEN!U33)))</f>
      </c>
      <c r="J24" s="132">
        <f t="shared" si="11"/>
      </c>
      <c r="K24" s="130">
        <f t="shared" si="1"/>
      </c>
      <c r="L24" s="130">
        <f t="shared" si="2"/>
      </c>
      <c r="M24" s="132">
        <f t="shared" si="3"/>
      </c>
      <c r="N24" s="132">
        <f t="shared" si="4"/>
      </c>
      <c r="O24" s="130">
        <f t="shared" si="5"/>
      </c>
      <c r="P24" s="130">
        <f t="shared" si="6"/>
      </c>
      <c r="Q24" s="132">
        <f t="shared" si="16"/>
        <v>0</v>
      </c>
      <c r="R24" s="132">
        <f>IF($C24="","",MAX($Q$11:Q23))</f>
      </c>
      <c r="S24" s="138">
        <f t="shared" si="13"/>
      </c>
      <c r="T24" s="378">
        <f t="shared" si="7"/>
      </c>
      <c r="U24" s="423">
        <f t="shared" si="12"/>
      </c>
      <c r="V24" s="381">
        <f t="shared" si="14"/>
      </c>
      <c r="W24" s="221">
        <f t="shared" si="15"/>
      </c>
    </row>
    <row r="25" spans="1:23" ht="12.75">
      <c r="A25" s="147">
        <f t="shared" si="0"/>
      </c>
      <c r="B25" s="33">
        <f t="shared" si="8"/>
      </c>
      <c r="C25" s="134">
        <f>STAMMDATEN!L34</f>
      </c>
      <c r="D25" s="129">
        <f>IF(C25="","",IF(SUM(E24,G24,I24)/$D$9=1,D24,STAMMDATEN!N34))</f>
      </c>
      <c r="E25" s="131">
        <f>IF($E$6="","",IF($C25="","",IF(STAMMDATEN!S34="",E24,STAMMDATEN!S34)))</f>
      </c>
      <c r="F25" s="132">
        <f t="shared" si="9"/>
      </c>
      <c r="G25" s="11">
        <f>IF($G$6="","",IF($C25="","",IF(STAMMDATEN!T34="",G24,STAMMDATEN!T34)))</f>
      </c>
      <c r="H25" s="130">
        <f t="shared" si="10"/>
      </c>
      <c r="I25" s="131">
        <f>IF($I$6="","",IF($C25="","",IF(STAMMDATEN!U34="",I24,STAMMDATEN!U34)))</f>
      </c>
      <c r="J25" s="132">
        <f t="shared" si="11"/>
      </c>
      <c r="K25" s="130">
        <f t="shared" si="1"/>
      </c>
      <c r="L25" s="130">
        <f t="shared" si="2"/>
      </c>
      <c r="M25" s="132">
        <f t="shared" si="3"/>
      </c>
      <c r="N25" s="132">
        <f t="shared" si="4"/>
      </c>
      <c r="O25" s="130">
        <f t="shared" si="5"/>
      </c>
      <c r="P25" s="130">
        <f t="shared" si="6"/>
      </c>
      <c r="Q25" s="132">
        <f t="shared" si="16"/>
        <v>0</v>
      </c>
      <c r="R25" s="132">
        <f>IF($C25="","",MAX($Q$11:Q24))</f>
      </c>
      <c r="S25" s="138">
        <f t="shared" si="13"/>
      </c>
      <c r="T25" s="378">
        <f t="shared" si="7"/>
      </c>
      <c r="U25" s="423">
        <f t="shared" si="12"/>
      </c>
      <c r="V25" s="381">
        <f t="shared" si="14"/>
      </c>
      <c r="W25" s="221">
        <f t="shared" si="15"/>
      </c>
    </row>
    <row r="26" spans="1:23" ht="12.75">
      <c r="A26" s="147">
        <f t="shared" si="0"/>
      </c>
      <c r="B26" s="33">
        <f t="shared" si="8"/>
      </c>
      <c r="C26" s="134">
        <f>STAMMDATEN!L35</f>
      </c>
      <c r="D26" s="129">
        <f>IF(C26="","",IF(SUM(E25,G25,I25)/$D$9=1,D25,STAMMDATEN!N35))</f>
      </c>
      <c r="E26" s="131">
        <f>IF($E$6="","",IF($C26="","",IF(STAMMDATEN!S35="",E25,STAMMDATEN!S35)))</f>
      </c>
      <c r="F26" s="132">
        <f t="shared" si="9"/>
      </c>
      <c r="G26" s="11">
        <f>IF($G$6="","",IF($C26="","",IF(STAMMDATEN!T35="",G25,STAMMDATEN!T35)))</f>
      </c>
      <c r="H26" s="130">
        <f t="shared" si="10"/>
      </c>
      <c r="I26" s="131">
        <f>IF($I$6="","",IF($C26="","",IF(STAMMDATEN!U35="",I25,STAMMDATEN!U35)))</f>
      </c>
      <c r="J26" s="132">
        <f t="shared" si="11"/>
      </c>
      <c r="K26" s="130">
        <f t="shared" si="1"/>
      </c>
      <c r="L26" s="130">
        <f t="shared" si="2"/>
      </c>
      <c r="M26" s="132">
        <f t="shared" si="3"/>
      </c>
      <c r="N26" s="132">
        <f t="shared" si="4"/>
      </c>
      <c r="O26" s="130">
        <f t="shared" si="5"/>
      </c>
      <c r="P26" s="130">
        <f t="shared" si="6"/>
      </c>
      <c r="Q26" s="132">
        <f t="shared" si="16"/>
        <v>0</v>
      </c>
      <c r="R26" s="132">
        <f>IF($C26="","",MAX($Q$11:Q25))</f>
      </c>
      <c r="S26" s="138">
        <f t="shared" si="13"/>
      </c>
      <c r="T26" s="378">
        <f t="shared" si="7"/>
      </c>
      <c r="U26" s="423">
        <f t="shared" si="12"/>
      </c>
      <c r="V26" s="381">
        <f t="shared" si="14"/>
      </c>
      <c r="W26" s="221">
        <f t="shared" si="15"/>
      </c>
    </row>
    <row r="27" spans="1:23" ht="12.75">
      <c r="A27" s="147">
        <f t="shared" si="0"/>
      </c>
      <c r="B27" s="33">
        <f t="shared" si="8"/>
      </c>
      <c r="C27" s="134">
        <f>STAMMDATEN!L36</f>
      </c>
      <c r="D27" s="129">
        <f>IF(C27="","",IF(SUM(E26,G26,I26)/$D$9=1,D26,STAMMDATEN!N36))</f>
      </c>
      <c r="E27" s="131">
        <f>IF($E$6="","",IF($C27="","",IF(STAMMDATEN!S36="",E26,STAMMDATEN!S36)))</f>
      </c>
      <c r="F27" s="132">
        <f t="shared" si="9"/>
      </c>
      <c r="G27" s="11">
        <f>IF($G$6="","",IF($C27="","",IF(STAMMDATEN!T36="",G26,STAMMDATEN!T36)))</f>
      </c>
      <c r="H27" s="130">
        <f t="shared" si="10"/>
      </c>
      <c r="I27" s="131">
        <f>IF($I$6="","",IF($C27="","",IF(STAMMDATEN!U36="",I26,STAMMDATEN!U36)))</f>
      </c>
      <c r="J27" s="132">
        <f t="shared" si="11"/>
      </c>
      <c r="K27" s="130">
        <f t="shared" si="1"/>
      </c>
      <c r="L27" s="130">
        <f t="shared" si="2"/>
      </c>
      <c r="M27" s="132">
        <f t="shared" si="3"/>
      </c>
      <c r="N27" s="132">
        <f t="shared" si="4"/>
      </c>
      <c r="O27" s="130">
        <f t="shared" si="5"/>
      </c>
      <c r="P27" s="130">
        <f t="shared" si="6"/>
      </c>
      <c r="Q27" s="132">
        <f t="shared" si="16"/>
        <v>0</v>
      </c>
      <c r="R27" s="132">
        <f>IF($C27="","",MAX($Q$11:Q26))</f>
      </c>
      <c r="S27" s="138">
        <f t="shared" si="13"/>
      </c>
      <c r="T27" s="378">
        <f t="shared" si="7"/>
      </c>
      <c r="U27" s="423">
        <f t="shared" si="12"/>
      </c>
      <c r="V27" s="381">
        <f t="shared" si="14"/>
      </c>
      <c r="W27" s="221">
        <f t="shared" si="15"/>
      </c>
    </row>
    <row r="28" spans="1:23" ht="12.75">
      <c r="A28" s="147">
        <f t="shared" si="0"/>
      </c>
      <c r="B28" s="33">
        <f t="shared" si="8"/>
      </c>
      <c r="C28" s="134">
        <f>STAMMDATEN!L37</f>
      </c>
      <c r="D28" s="129">
        <f>IF(C28="","",IF(SUM(E27,G27,I27)/$D$9=1,D27,STAMMDATEN!N37))</f>
      </c>
      <c r="E28" s="131">
        <f>IF($E$6="","",IF($C28="","",IF(STAMMDATEN!S37="",E27,STAMMDATEN!S37)))</f>
      </c>
      <c r="F28" s="132">
        <f t="shared" si="9"/>
      </c>
      <c r="G28" s="11">
        <f>IF($G$6="","",IF($C28="","",IF(STAMMDATEN!T37="",G27,STAMMDATEN!T37)))</f>
      </c>
      <c r="H28" s="130">
        <f t="shared" si="10"/>
      </c>
      <c r="I28" s="131">
        <f>IF($I$6="","",IF($C28="","",IF(STAMMDATEN!U37="",I27,STAMMDATEN!U37)))</f>
      </c>
      <c r="J28" s="132">
        <f t="shared" si="11"/>
      </c>
      <c r="K28" s="130">
        <f t="shared" si="1"/>
      </c>
      <c r="L28" s="130">
        <f t="shared" si="2"/>
      </c>
      <c r="M28" s="132">
        <f t="shared" si="3"/>
      </c>
      <c r="N28" s="132">
        <f t="shared" si="4"/>
      </c>
      <c r="O28" s="130">
        <f t="shared" si="5"/>
      </c>
      <c r="P28" s="130">
        <f t="shared" si="6"/>
      </c>
      <c r="Q28" s="132">
        <f t="shared" si="16"/>
        <v>0</v>
      </c>
      <c r="R28" s="132">
        <f>IF($C28="","",MAX($Q$11:Q27))</f>
      </c>
      <c r="S28" s="138">
        <f t="shared" si="13"/>
      </c>
      <c r="T28" s="378">
        <f t="shared" si="7"/>
      </c>
      <c r="U28" s="423">
        <f t="shared" si="12"/>
      </c>
      <c r="V28" s="381">
        <f t="shared" si="14"/>
      </c>
      <c r="W28" s="221">
        <f t="shared" si="15"/>
      </c>
    </row>
    <row r="29" spans="1:23" ht="12.75">
      <c r="A29" s="147">
        <f t="shared" si="0"/>
      </c>
      <c r="B29" s="33">
        <f t="shared" si="8"/>
      </c>
      <c r="C29" s="134">
        <f>STAMMDATEN!L38</f>
      </c>
      <c r="D29" s="129">
        <f>IF(C29="","",IF(SUM(E28,G28,I28)/$D$9=1,D28,STAMMDATEN!N38))</f>
      </c>
      <c r="E29" s="131">
        <f>IF($E$6="","",IF($C29="","",IF(STAMMDATEN!S38="",E28,STAMMDATEN!S38)))</f>
      </c>
      <c r="F29" s="132">
        <f t="shared" si="9"/>
      </c>
      <c r="G29" s="11">
        <f>IF($G$6="","",IF($C29="","",IF(STAMMDATEN!T38="",G28,STAMMDATEN!T38)))</f>
      </c>
      <c r="H29" s="130">
        <f t="shared" si="10"/>
      </c>
      <c r="I29" s="131">
        <f>IF($I$6="","",IF($C29="","",IF(STAMMDATEN!U38="",I28,STAMMDATEN!U38)))</f>
      </c>
      <c r="J29" s="132">
        <f t="shared" si="11"/>
      </c>
      <c r="K29" s="130">
        <f t="shared" si="1"/>
      </c>
      <c r="L29" s="130">
        <f t="shared" si="2"/>
      </c>
      <c r="M29" s="132">
        <f t="shared" si="3"/>
      </c>
      <c r="N29" s="132">
        <f t="shared" si="4"/>
      </c>
      <c r="O29" s="130">
        <f t="shared" si="5"/>
      </c>
      <c r="P29" s="130">
        <f t="shared" si="6"/>
      </c>
      <c r="Q29" s="132">
        <f t="shared" si="16"/>
        <v>0</v>
      </c>
      <c r="R29" s="132">
        <f>IF($C29="","",MAX($Q$11:Q28))</f>
      </c>
      <c r="S29" s="138">
        <f t="shared" si="13"/>
      </c>
      <c r="T29" s="378">
        <f t="shared" si="7"/>
      </c>
      <c r="U29" s="423">
        <f t="shared" si="12"/>
      </c>
      <c r="V29" s="381">
        <f t="shared" si="14"/>
      </c>
      <c r="W29" s="221">
        <f t="shared" si="15"/>
      </c>
    </row>
    <row r="30" spans="1:23" ht="12.75">
      <c r="A30" s="147">
        <f t="shared" si="0"/>
      </c>
      <c r="B30" s="33">
        <f t="shared" si="8"/>
      </c>
      <c r="C30" s="134">
        <f>STAMMDATEN!L39</f>
      </c>
      <c r="D30" s="129">
        <f>IF(C30="","",IF(SUM(E29,G29,I29)/$D$9=1,D29,STAMMDATEN!N39))</f>
      </c>
      <c r="E30" s="131">
        <f>IF($E$6="","",IF($C30="","",IF(STAMMDATEN!S39="",E29,STAMMDATEN!S39)))</f>
      </c>
      <c r="F30" s="132">
        <f t="shared" si="9"/>
      </c>
      <c r="G30" s="11">
        <f>IF($G$6="","",IF($C30="","",IF(STAMMDATEN!T39="",G29,STAMMDATEN!T39)))</f>
      </c>
      <c r="H30" s="130">
        <f t="shared" si="10"/>
      </c>
      <c r="I30" s="131">
        <f>IF($I$6="","",IF($C30="","",IF(STAMMDATEN!U39="",I29,STAMMDATEN!U39)))</f>
      </c>
      <c r="J30" s="132">
        <f t="shared" si="11"/>
      </c>
      <c r="K30" s="130">
        <f t="shared" si="1"/>
      </c>
      <c r="L30" s="130">
        <f t="shared" si="2"/>
      </c>
      <c r="M30" s="132">
        <f t="shared" si="3"/>
      </c>
      <c r="N30" s="132">
        <f t="shared" si="4"/>
      </c>
      <c r="O30" s="130">
        <f t="shared" si="5"/>
      </c>
      <c r="P30" s="130">
        <f t="shared" si="6"/>
      </c>
      <c r="Q30" s="132">
        <f t="shared" si="16"/>
        <v>0</v>
      </c>
      <c r="R30" s="132">
        <f>IF($C30="","",MAX($Q$11:Q29))</f>
      </c>
      <c r="S30" s="138">
        <f t="shared" si="13"/>
      </c>
      <c r="T30" s="378">
        <f>IF($B30="","",($B30*SUM(Q30)))</f>
      </c>
      <c r="U30" s="423">
        <f t="shared" si="12"/>
      </c>
      <c r="V30" s="381">
        <f t="shared" si="14"/>
      </c>
      <c r="W30" s="221">
        <f t="shared" si="15"/>
      </c>
    </row>
    <row r="31" spans="1:93" s="37" customFormat="1" ht="12.75" customHeight="1" thickBot="1">
      <c r="A31" s="144" t="s">
        <v>170</v>
      </c>
      <c r="B31" s="416">
        <f>IF(SUM(B11:B30)=0,"",MAX(B11:B30))</f>
      </c>
      <c r="C31" s="134">
        <f aca="true" t="shared" si="17" ref="C31:I31">MAX(C11:C30)</f>
        <v>2</v>
      </c>
      <c r="D31" s="38">
        <f t="shared" si="17"/>
        <v>35921</v>
      </c>
      <c r="E31" s="131">
        <f t="shared" si="17"/>
        <v>0</v>
      </c>
      <c r="F31" s="132">
        <f t="shared" si="17"/>
        <v>0</v>
      </c>
      <c r="G31" s="34">
        <f t="shared" si="17"/>
        <v>0</v>
      </c>
      <c r="H31" s="130">
        <f t="shared" si="17"/>
        <v>0</v>
      </c>
      <c r="I31" s="131">
        <f t="shared" si="17"/>
        <v>0</v>
      </c>
      <c r="J31" s="132">
        <f aca="true" t="shared" si="18" ref="J31:Q31">MAX(J11:J30)</f>
        <v>0</v>
      </c>
      <c r="K31" s="195">
        <f t="shared" si="18"/>
        <v>0</v>
      </c>
      <c r="L31" s="195">
        <f t="shared" si="18"/>
        <v>0</v>
      </c>
      <c r="M31" s="196">
        <f t="shared" si="18"/>
        <v>0</v>
      </c>
      <c r="N31" s="196">
        <f t="shared" si="18"/>
        <v>0</v>
      </c>
      <c r="O31" s="197">
        <f t="shared" si="18"/>
        <v>0</v>
      </c>
      <c r="P31" s="198">
        <f t="shared" si="18"/>
        <v>0</v>
      </c>
      <c r="Q31" s="132">
        <f t="shared" si="18"/>
        <v>0</v>
      </c>
      <c r="R31" s="132">
        <f>MAX(R11:R30)</f>
        <v>0</v>
      </c>
      <c r="S31" s="147">
        <f>IF(U31=0,"","X")</f>
      </c>
      <c r="T31" s="378">
        <f>MAX(T11:T30)</f>
        <v>0</v>
      </c>
      <c r="U31" s="423">
        <f>MAX(U11:U30)</f>
        <v>0</v>
      </c>
      <c r="V31" s="381">
        <f>IF(U31=0,"",MAX(V11:V30))</f>
      </c>
      <c r="W31" s="221">
        <f>MAX(W12:W30)</f>
        <v>0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</row>
    <row r="32" spans="1:93" s="37" customFormat="1" ht="12.75" customHeight="1" thickBot="1">
      <c r="A32" s="145" t="s">
        <v>121</v>
      </c>
      <c r="B32" s="12"/>
      <c r="C32" s="12"/>
      <c r="D32" s="426"/>
      <c r="E32" s="139" t="s">
        <v>129</v>
      </c>
      <c r="F32" s="12"/>
      <c r="G32" s="12"/>
      <c r="H32" s="12"/>
      <c r="I32" s="12"/>
      <c r="J32" s="12"/>
      <c r="K32" s="374">
        <f>IF(L31=0,K31,L31)</f>
        <v>0</v>
      </c>
      <c r="L32" s="315" t="s">
        <v>205</v>
      </c>
      <c r="M32" s="196">
        <f>IF(N31=0,M31,N31)</f>
        <v>0</v>
      </c>
      <c r="N32" s="337">
        <f>SUM(K32:M32)</f>
        <v>0</v>
      </c>
      <c r="O32" s="397">
        <f>IF(P31=0,O31,P31)</f>
        <v>0</v>
      </c>
      <c r="P32" s="396" t="s">
        <v>229</v>
      </c>
      <c r="Q32" s="167">
        <f>Q31</f>
        <v>0</v>
      </c>
      <c r="R32" s="343"/>
      <c r="S32" s="341"/>
      <c r="T32" s="379">
        <f>IF(K38=0,"",SUM(E31,G31,I31)/$K$38)</f>
        <v>0</v>
      </c>
      <c r="U32" s="420"/>
      <c r="V32" s="222"/>
      <c r="W32" s="69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</row>
    <row r="33" spans="1:93" s="37" customFormat="1" ht="12.75" customHeight="1">
      <c r="A33" s="147">
        <f>IF(C33="","",IF(C33=0,"",IF($O$2=0,$P$1,IF($P$2&lt;=D33,$P$1,$O$1))))</f>
      </c>
      <c r="B33" s="384">
        <f>IF(SUM(E33,G33,I33)=0,"",IF(SUM(E$31,G$31,I$31)=SUM($E$33,$G$33,$I$33),B$31,IF($B$8&lt;=$D33,$A$8,$A$7)))</f>
      </c>
      <c r="C33" s="134">
        <f>IF(STAMMDATEN!$L$49="","",STAMMDATEN!$L$49)</f>
      </c>
      <c r="D33" s="129">
        <f>IF(C33=0,"",STAMMDATEN!N49)</f>
        <v>0</v>
      </c>
      <c r="E33" s="131">
        <f>IF(E$8="","",IF($C$33="","",1))</f>
      </c>
      <c r="F33" s="132">
        <f>IF($D33="","",IF(E33="","",IF(SUM($E$31,$G$31,$I$31)=SUM($E$33,$G$33,$I$33),F$31,IF($D33&gt;=$R$2,SUM(F$5*E33),SUM(F$4*E33)))))</f>
      </c>
      <c r="G33" s="11">
        <f>IF(G$8="","",IF($C$33="","",1))</f>
      </c>
      <c r="H33" s="130">
        <f>IF($D33="","",IF(G33="","",IF(SUM($E$31,$G$31,$I$31)=SUM($E$33,$G$33,$I$33),H$31,IF($D33&gt;=$R$2,SUM(H$5*G33),SUM(H$4*G33)))))</f>
      </c>
      <c r="I33" s="131">
        <f>IF(I$8="","",IF($C$33="","",1))</f>
      </c>
      <c r="J33" s="132">
        <f>IF($D33="","",IF(I33="","",IF(SUM($E$31,$G$31,$I$31)=SUM($E$33,$G$33,$I$33),J$31,IF($D33&gt;=$R$2,SUM(J$5*I33),SUM(J$4*I33)))))</f>
      </c>
      <c r="K33" s="418">
        <f>IF($D33=0,"",IF(SUM(E$31,G$31,I$31)=SUM($E33,$G33,$I33),$K$32,SUM(F33,H33,J33)))</f>
      </c>
      <c r="M33" s="196">
        <f>IF($D33=0,"",SUM(K$33*M10))</f>
      </c>
      <c r="N33" s="95"/>
      <c r="O33" s="197">
        <f>IF($D33="","",SUM(K33:N33)*O10)</f>
        <v>0</v>
      </c>
      <c r="P33" s="95">
        <f>SUM(K33:O33)</f>
        <v>0</v>
      </c>
      <c r="Q33" s="132">
        <f>SUM(K33,M33,O33)</f>
        <v>0</v>
      </c>
      <c r="R33" s="132">
        <f>IF($D33=0,"",Q32)</f>
      </c>
      <c r="S33" s="147">
        <f>IF(U33="","","X")</f>
      </c>
      <c r="T33" s="378">
        <f>IF($B33="","",($B33*SUM(Q33)))</f>
      </c>
      <c r="U33" s="423">
        <f>IF($D33=0,"",IF($T32=1,"",IF($B33=$B31,"",SUM($A$8-$A$7)*SUM(Q$32))))</f>
      </c>
      <c r="V33" s="381">
        <f>IF($B33="","",IF($B33=$B31,"",$C33))</f>
      </c>
      <c r="W33" s="69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</row>
    <row r="34" spans="1:93" s="37" customFormat="1" ht="12.75" customHeight="1">
      <c r="A34" s="146" t="s">
        <v>122</v>
      </c>
      <c r="B34" s="12"/>
      <c r="C34" s="12"/>
      <c r="D34" s="426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R34" s="341"/>
      <c r="S34" s="341"/>
      <c r="T34" s="379">
        <f>IF($B33="","",IF(T32=1,"",SUM(C33,E33,G33,I33)/K$38))</f>
      </c>
      <c r="U34" s="420"/>
      <c r="V34" s="222"/>
      <c r="W34" s="69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</row>
    <row r="35" spans="1:93" s="37" customFormat="1" ht="12.75" customHeight="1" thickBot="1">
      <c r="A35" s="147">
        <f>IF(C35="","",IF($O$2=0,$P$1,IF($P$2&lt;=D35,$P$1,$O$1)))</f>
      </c>
      <c r="B35" s="384">
        <f>IF(D35="","",IF(SUM(E$31,G$31,I$31)=SUM($E$35,$G$35,$I$35),B$31,IF($B$8&lt;=$D35,$A$8,$A$7)))</f>
      </c>
      <c r="C35" s="134">
        <f>IF(STAMMDATEN!$L$53="","",STAMMDATEN!$L$53)</f>
      </c>
      <c r="D35" s="129">
        <f>IF(C35="","",STAMMDATEN!N53)</f>
      </c>
      <c r="E35" s="131">
        <f>IF(E$8="","",IF($C$35="","",1))</f>
      </c>
      <c r="F35" s="132">
        <f>IF($D35="","",IF(E35="","",IF(SUM($E$31,$G$31,$I$31)=SUM($E$33,$G$33,$I$33),F$31,IF($D35&gt;=P$2,SUM(F$5*E35),SUM(F$4*E35)))))</f>
      </c>
      <c r="G35" s="11">
        <f>IF(G$8="","",IF($C$35="","",1))</f>
      </c>
      <c r="H35" s="130">
        <f>IF($D35="","",IF(G35="","",IF(SUM($E$31,$G$31,$I$31)=SUM($E$33,$G$33,$I$33),H$31,IF($D35&gt;=$P$2,SUM(H$5*G35),SUM(H$4*G35)))))</f>
      </c>
      <c r="I35" s="131">
        <f>IF(I$8="","",IF($C$35="","",1))</f>
      </c>
      <c r="J35" s="586">
        <f>IF($D35="","",IF(I35="","",IF(SUM($E$31,$G$31,$I$31)=SUM($E$33,$G$33,$I$33),J$31,IF($D35&gt;=$P$2,SUM(J$5*I35),SUM(J$4*I35)))))</f>
      </c>
      <c r="K35" s="418">
        <f>IF($D35=0,"",IF(SUM(E$31,G$31,I$31)=SUM($E35,$G35,$I35),$K$32,SUM(F35,H35,J35)))</f>
        <v>0</v>
      </c>
      <c r="L35" s="12"/>
      <c r="M35" s="196">
        <f>IF($D35="","",SUM(K35*M10))</f>
      </c>
      <c r="N35" s="12"/>
      <c r="O35" s="199">
        <f>IF($D35="","",SUM(K35:M35)*O10)</f>
      </c>
      <c r="Q35" s="132">
        <f>SUM(K35,M35,O35)</f>
        <v>0</v>
      </c>
      <c r="R35" s="132">
        <f>IF($D35="","",MAX(Q32:Q33))</f>
      </c>
      <c r="S35" s="147">
        <f>IF(U35="","","X")</f>
      </c>
      <c r="T35" s="378">
        <f>IF($B35="","",($B35*Q35))</f>
      </c>
      <c r="U35" s="378">
        <f>IF($D35="","",IF(MAX(T32,T34)=1,"",IF($B35=MAX($B31,$B33),"",SUM($A$8-$A$7)*MAX(Q32:Q33))))</f>
      </c>
      <c r="V35" s="381">
        <f>IF($B35="","",IF($B35=MAX($B31:$B33),"",$C35))</f>
      </c>
      <c r="W35" s="69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</row>
    <row r="36" spans="1:93" s="37" customFormat="1" ht="12.75" customHeight="1" thickBot="1">
      <c r="A36" s="152" t="s">
        <v>167</v>
      </c>
      <c r="B36" s="12"/>
      <c r="C36" s="12"/>
      <c r="D36" s="427" t="s">
        <v>166</v>
      </c>
      <c r="E36" s="184">
        <f>MAX(E31:E35)</f>
        <v>0</v>
      </c>
      <c r="F36" s="28">
        <f>IF(SUM($D$33,$D$35)=0,F31,MAX(F33,F35))</f>
        <v>0</v>
      </c>
      <c r="G36" s="184">
        <f>MAX(G31:G35)</f>
        <v>0</v>
      </c>
      <c r="H36" s="28">
        <f>IF(SUM($D$33,$D$35)=0,H31,MAX(H33,H35))</f>
        <v>0</v>
      </c>
      <c r="I36" s="184">
        <f>MAX(I31:I35)</f>
        <v>0</v>
      </c>
      <c r="J36" s="28">
        <f>IF(SUM($D$33,$D$35)=0,J31,MAX(J33,J35))</f>
        <v>0</v>
      </c>
      <c r="K36" s="182">
        <f>IF(SUM($D$33,$D$35)=0,K32,MAX(K33,K35))</f>
        <v>0</v>
      </c>
      <c r="L36" s="315" t="s">
        <v>205</v>
      </c>
      <c r="M36" s="182">
        <f>IF(SUM($D$33,$D$35)=0,M32,MAX(M33,M35))</f>
        <v>0</v>
      </c>
      <c r="N36" s="337">
        <f>SUM(K36:M36)</f>
        <v>0</v>
      </c>
      <c r="O36" s="182">
        <f>IF(SUM($D$33,$D$35)=0,O32,MAX(O33,O35))</f>
        <v>0</v>
      </c>
      <c r="P36" s="415">
        <f>SUM(N36:O36)</f>
        <v>0</v>
      </c>
      <c r="R36" s="187">
        <f>MAX(R31:R35)</f>
        <v>0</v>
      </c>
      <c r="S36" s="380">
        <f>IF(V36="","","X")</f>
      </c>
      <c r="T36" s="378">
        <f>IF($B36="","",($B36*SUM(Q36)))</f>
      </c>
      <c r="U36" s="420"/>
      <c r="V36" s="222"/>
      <c r="W36" s="69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</row>
    <row r="37" spans="1:93" s="37" customFormat="1" ht="12.75" customHeight="1">
      <c r="A37" s="12" t="s">
        <v>220</v>
      </c>
      <c r="B37" s="12"/>
      <c r="C37" s="12"/>
      <c r="D37" s="426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Q37" s="6"/>
      <c r="R37" s="6"/>
      <c r="S37" s="6"/>
      <c r="T37" s="6"/>
      <c r="U37" s="420"/>
      <c r="V37" s="222"/>
      <c r="W37" s="69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</row>
    <row r="38" spans="1:93" s="37" customFormat="1" ht="12.75" customHeight="1">
      <c r="A38" s="12"/>
      <c r="B38" s="364">
        <f>IF(F3=0,"",IF(K38=0,"",IF(SUM(E31,G31,I31)/K38=1,B31,MAX(B31:B35))))</f>
      </c>
      <c r="C38" s="72">
        <f>IF(D38=D35,C35,IF(D38=D33,C33,IF(D38=D31,C31,"")))</f>
        <v>2</v>
      </c>
      <c r="D38" s="280">
        <f>IF(K38=0,"",IF(SUM(E31,G31,I31)/K38=1,D31,MAX(D31:D35)))</f>
        <v>35921</v>
      </c>
      <c r="E38" s="12">
        <f>E9</f>
        <v>1</v>
      </c>
      <c r="F38" s="12"/>
      <c r="G38" s="12">
        <f>G9</f>
        <v>1</v>
      </c>
      <c r="H38" s="12"/>
      <c r="I38" s="12">
        <f>I9</f>
        <v>1</v>
      </c>
      <c r="J38" s="12"/>
      <c r="K38" s="43">
        <f>SUM(E9:I9)</f>
        <v>3</v>
      </c>
      <c r="L38" s="12"/>
      <c r="M38" s="12"/>
      <c r="N38" s="12"/>
      <c r="O38" s="12"/>
      <c r="Q38" s="6"/>
      <c r="R38" s="6"/>
      <c r="S38" s="6"/>
      <c r="T38" s="6"/>
      <c r="U38" s="422">
        <f>MAX(U31:U35)</f>
        <v>0</v>
      </c>
      <c r="V38" s="217">
        <f>IF(S31="X",V31,IF(S33="X","S",IF(S35="X","L","")))</f>
      </c>
      <c r="W38" s="425">
        <f>MAX(W12:W30)</f>
        <v>0</v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</row>
    <row r="39" spans="1:93" s="37" customFormat="1" ht="12.75" customHeight="1">
      <c r="A39" s="12"/>
      <c r="C39" s="12"/>
      <c r="D39" s="12" t="s">
        <v>322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6"/>
      <c r="R39" s="6"/>
      <c r="S39" s="6"/>
      <c r="T39" s="6"/>
      <c r="U39" s="420"/>
      <c r="V39" s="383">
        <f>IF(V38="","",1)</f>
      </c>
      <c r="W39" s="411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</row>
    <row r="40" spans="1:93" s="37" customFormat="1" ht="12.75" customHeight="1">
      <c r="A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6"/>
      <c r="R40" s="6"/>
      <c r="S40" s="6"/>
      <c r="T40" s="6"/>
      <c r="U40" s="420"/>
      <c r="V40" s="222"/>
      <c r="W40" s="411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</row>
    <row r="41" spans="3:93" s="37" customFormat="1" ht="12.75" customHeight="1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6"/>
      <c r="R41" s="6"/>
      <c r="S41" s="6"/>
      <c r="T41" s="6"/>
      <c r="U41" s="420"/>
      <c r="V41" s="222"/>
      <c r="W41" s="411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</row>
    <row r="42" spans="3:93" s="37" customFormat="1" ht="12.75" customHeight="1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6"/>
      <c r="R42" s="6"/>
      <c r="S42" s="6"/>
      <c r="T42" s="6"/>
      <c r="U42" s="420"/>
      <c r="V42" s="222"/>
      <c r="W42" s="411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</row>
    <row r="43" spans="3:93" s="37" customFormat="1" ht="12.75" customHeight="1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6"/>
      <c r="R43" s="6"/>
      <c r="S43" s="6"/>
      <c r="T43" s="6"/>
      <c r="U43" s="420"/>
      <c r="V43" s="222"/>
      <c r="W43" s="411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</row>
    <row r="44" spans="3:93" s="37" customFormat="1" ht="12.75" customHeight="1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6"/>
      <c r="R44" s="6"/>
      <c r="S44" s="6"/>
      <c r="T44" s="6"/>
      <c r="U44" s="420"/>
      <c r="V44" s="222"/>
      <c r="W44" s="411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</row>
    <row r="45" spans="3:93" s="37" customFormat="1" ht="20.25" customHeight="1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6"/>
      <c r="R45" s="6"/>
      <c r="S45" s="6"/>
      <c r="T45" s="6"/>
      <c r="U45" s="420"/>
      <c r="V45" s="222"/>
      <c r="W45" s="411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</row>
    <row r="46" spans="3:93" s="37" customFormat="1" ht="12.75" customHeight="1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6"/>
      <c r="R46" s="6"/>
      <c r="S46" s="6"/>
      <c r="T46" s="6"/>
      <c r="U46" s="420"/>
      <c r="V46" s="222"/>
      <c r="W46" s="411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</row>
    <row r="47" spans="3:93" s="37" customFormat="1" ht="12.75" customHeight="1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6"/>
      <c r="R47" s="6"/>
      <c r="S47" s="6"/>
      <c r="T47" s="6"/>
      <c r="U47" s="420"/>
      <c r="V47" s="222"/>
      <c r="W47" s="411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</row>
    <row r="48" spans="1:16" ht="12.75" customHeight="1">
      <c r="A48" s="37"/>
      <c r="B48" s="37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2.75">
      <c r="A49" s="37"/>
      <c r="B49" s="37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2.75">
      <c r="A50" s="37"/>
      <c r="B50" s="37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2.75">
      <c r="A51" s="37"/>
      <c r="B51" s="37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2.75">
      <c r="A52" s="37"/>
      <c r="B52" s="37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1:16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1:16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</sheetData>
  <sheetProtection password="CBC6" sheet="1" objects="1" scenarios="1"/>
  <mergeCells count="8">
    <mergeCell ref="A1:C1"/>
    <mergeCell ref="B6:D6"/>
    <mergeCell ref="K10:L10"/>
    <mergeCell ref="M8:N8"/>
    <mergeCell ref="V4:V10"/>
    <mergeCell ref="S5:S10"/>
    <mergeCell ref="O8:P8"/>
    <mergeCell ref="B8:C8"/>
  </mergeCells>
  <printOptions horizontalCentered="1" verticalCentered="1"/>
  <pageMargins left="0.3937007874015748" right="0" top="0.3937007874015748" bottom="0" header="0" footer="0"/>
  <pageSetup fitToHeight="1" fitToWidth="1" horizontalDpi="300" verticalDpi="3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55"/>
  <sheetViews>
    <sheetView showZeros="0" workbookViewId="0" topLeftCell="A1">
      <selection activeCell="U39" sqref="U39"/>
    </sheetView>
  </sheetViews>
  <sheetFormatPr defaultColWidth="11.421875" defaultRowHeight="12.75"/>
  <cols>
    <col min="1" max="3" width="4.7109375" style="4" customWidth="1"/>
    <col min="4" max="4" width="12.140625" style="4" customWidth="1"/>
    <col min="5" max="5" width="5.28125" style="4" customWidth="1"/>
    <col min="6" max="6" width="9.8515625" style="4" customWidth="1"/>
    <col min="7" max="7" width="5.28125" style="4" customWidth="1"/>
    <col min="8" max="14" width="9.8515625" style="4" customWidth="1"/>
    <col min="15" max="15" width="9.8515625" style="6" customWidth="1"/>
    <col min="16" max="16" width="11.421875" style="6" customWidth="1"/>
    <col min="17" max="17" width="3.421875" style="6" customWidth="1"/>
    <col min="18" max="18" width="8.7109375" style="6" customWidth="1"/>
    <col min="19" max="19" width="9.28125" style="420" customWidth="1"/>
    <col min="20" max="20" width="3.140625" style="222" customWidth="1"/>
    <col min="21" max="21" width="10.140625" style="411" customWidth="1"/>
    <col min="22" max="98" width="11.421875" style="6" customWidth="1"/>
    <col min="99" max="16384" width="11.421875" style="4" customWidth="1"/>
  </cols>
  <sheetData>
    <row r="1" spans="1:17" ht="12.75" customHeight="1">
      <c r="A1" s="611" t="s">
        <v>158</v>
      </c>
      <c r="B1" s="612"/>
      <c r="C1" s="612"/>
      <c r="D1" s="128"/>
      <c r="E1" s="174" t="s">
        <v>185</v>
      </c>
      <c r="F1" s="128"/>
      <c r="G1" s="128"/>
      <c r="H1" s="128"/>
      <c r="I1" s="128"/>
      <c r="J1" s="128"/>
      <c r="K1" s="128"/>
      <c r="L1" s="128"/>
      <c r="M1" s="210" t="s">
        <v>67</v>
      </c>
      <c r="N1" s="212" t="s">
        <v>65</v>
      </c>
      <c r="O1" s="138"/>
      <c r="P1" s="55"/>
      <c r="Q1" s="55"/>
    </row>
    <row r="2" spans="1:17" ht="12.75">
      <c r="A2" s="549" t="s">
        <v>324</v>
      </c>
      <c r="B2" s="43"/>
      <c r="C2" s="30"/>
      <c r="D2" s="30"/>
      <c r="E2" s="127" t="s">
        <v>182</v>
      </c>
      <c r="F2" s="180" t="str">
        <f>IF(STAMMDATEN!$A$28="X",STAMMDATEN!$J$2,IF(STAMMDATEN!$A$29="X",STAMMDATEN!$J$3,IF(STAMMDATEN!$A$30="X",STAMMDATEN!$J$4,"")))</f>
        <v>Gebäude</v>
      </c>
      <c r="G2" s="125"/>
      <c r="H2" s="125"/>
      <c r="I2" s="180" t="str">
        <f>IF(STAMMDATEN!$A$28="X",STAMMDATEN!$D$28,IF(STAMMDATEN!$A$29="X",STAMMDATEN!$D$29,IF(STAMMDATEN!$A$30="X",STAMMDATEN!$D$30,"")))</f>
        <v>nach HOAI § 16</v>
      </c>
      <c r="J2" s="143"/>
      <c r="K2" s="143" t="s">
        <v>51</v>
      </c>
      <c r="L2" s="593">
        <f>D38</f>
        <v>35921</v>
      </c>
      <c r="M2" s="386">
        <f>STAMMDATEN!B46</f>
        <v>0</v>
      </c>
      <c r="N2" s="386">
        <f>IF(M2&gt;=STAMMDATEN!B52,"",STAMMDATEN!B52)</f>
      </c>
      <c r="O2" s="143"/>
      <c r="P2" s="339"/>
      <c r="Q2" s="55"/>
    </row>
    <row r="3" spans="1:17" ht="12.75">
      <c r="A3" s="148"/>
      <c r="B3" s="43"/>
      <c r="C3" s="43"/>
      <c r="D3" s="171" t="s">
        <v>165</v>
      </c>
      <c r="E3" s="125"/>
      <c r="F3" s="417">
        <f>SUM(M3:N3)</f>
        <v>0</v>
      </c>
      <c r="G3" s="125"/>
      <c r="H3" s="125"/>
      <c r="I3" s="125"/>
      <c r="J3" s="22"/>
      <c r="K3" s="50" t="s">
        <v>200</v>
      </c>
      <c r="L3" s="137"/>
      <c r="M3" s="123">
        <f>IF(M2="","",STAMMDATEN!H48)</f>
      </c>
      <c r="N3" s="124">
        <f>IF(N2="","",STAMMDATEN!H51)</f>
      </c>
      <c r="O3" s="143"/>
      <c r="P3" s="339"/>
      <c r="Q3" s="55"/>
    </row>
    <row r="4" spans="1:22" ht="13.5" customHeight="1" thickBot="1">
      <c r="A4" s="148"/>
      <c r="B4" s="43"/>
      <c r="C4" s="210" t="s">
        <v>67</v>
      </c>
      <c r="D4" s="172">
        <f>SUM(F4,H4,)</f>
        <v>0</v>
      </c>
      <c r="E4" s="183"/>
      <c r="F4" s="167">
        <f>IF(E6="","",IF(E8="","",IF($M$3="","",SUM(E$8*$M$3*E6))))</f>
      </c>
      <c r="G4" s="183"/>
      <c r="H4" s="167">
        <f>IF(G6="","",IF(G8="","",IF($M3="","",SUM($G8*$M$3*G6))))</f>
      </c>
      <c r="I4" s="125"/>
      <c r="J4" s="22"/>
      <c r="K4" s="308" t="s">
        <v>164</v>
      </c>
      <c r="L4" s="307">
        <f>SUM(E8,G8)</f>
        <v>0.33999999999999997</v>
      </c>
      <c r="M4" s="123">
        <f>IF(M3="","",SUM(M3*L4))</f>
      </c>
      <c r="N4" s="123">
        <f>IF(N3="","",SUM(N3*L4))</f>
      </c>
      <c r="O4" s="143"/>
      <c r="P4" s="339"/>
      <c r="Q4" s="55"/>
      <c r="T4" s="617" t="s">
        <v>232</v>
      </c>
      <c r="V4" s="42"/>
    </row>
    <row r="5" spans="1:20" ht="13.5" thickBot="1">
      <c r="A5" s="148"/>
      <c r="B5" s="43"/>
      <c r="C5" s="212" t="s">
        <v>65</v>
      </c>
      <c r="D5" s="172">
        <f>SUM(F5,H5,)</f>
        <v>0</v>
      </c>
      <c r="E5" s="324"/>
      <c r="F5" s="167">
        <f>IF(E6="","",IF(E8="","",IF($N$3="","",SUM(E$8*$N$3*E6))))</f>
      </c>
      <c r="G5" s="324"/>
      <c r="H5" s="167">
        <f>IF(G6="","",IF(G8="","",IF($N$3="","",SUM(G$8*$N$3*G6))))</f>
      </c>
      <c r="I5" s="125"/>
      <c r="J5" s="332"/>
      <c r="K5" s="333" t="s">
        <v>212</v>
      </c>
      <c r="L5" s="370">
        <f>SUM(E7,G7)</f>
        <v>0.33999999999999997</v>
      </c>
      <c r="M5" s="311">
        <f>IF(M3="","",SUM(M3*L5))</f>
      </c>
      <c r="N5" s="312">
        <f>IF(N3="","",SUM(N3*L5))</f>
      </c>
      <c r="O5" s="143"/>
      <c r="P5" s="339"/>
      <c r="Q5" s="617" t="s">
        <v>233</v>
      </c>
      <c r="T5" s="617"/>
    </row>
    <row r="6" spans="1:20" ht="12.75" customHeight="1">
      <c r="A6" s="3" t="s">
        <v>32</v>
      </c>
      <c r="B6" s="429"/>
      <c r="C6" s="30"/>
      <c r="D6" s="44" t="s">
        <v>181</v>
      </c>
      <c r="E6" s="156">
        <f>IF(STAMMDATEN!$V$18="","",STAMMDATEN!$V$18)</f>
        <v>1</v>
      </c>
      <c r="F6" s="250">
        <v>8</v>
      </c>
      <c r="G6" s="156">
        <f>IF(STAMMDATEN!$W$18="","",STAMMDATEN!$W$18)</f>
        <v>1</v>
      </c>
      <c r="H6" s="181">
        <v>9</v>
      </c>
      <c r="I6" s="125"/>
      <c r="J6" s="22"/>
      <c r="K6" s="318" t="s">
        <v>201</v>
      </c>
      <c r="L6" s="307">
        <f>STAMMDATEN!F29</f>
        <v>0.2</v>
      </c>
      <c r="M6" s="123">
        <f>IF(M3="","",SUM(M5*(1+$L6)))</f>
      </c>
      <c r="N6" s="123">
        <f>IF(N3="","",SUM(N5*(1+L6)))</f>
      </c>
      <c r="O6" s="143"/>
      <c r="P6" s="339"/>
      <c r="Q6" s="617"/>
      <c r="T6" s="617"/>
    </row>
    <row r="7" spans="1:24" ht="12.75">
      <c r="A7" s="144">
        <f>STAMMDATEN!F19</f>
        <v>0.15</v>
      </c>
      <c r="B7" s="169" t="s">
        <v>62</v>
      </c>
      <c r="C7" s="170"/>
      <c r="D7" s="43"/>
      <c r="E7" s="325">
        <f>IF(E8="","",SUM(E6*E8))</f>
        <v>0.31</v>
      </c>
      <c r="F7" s="326"/>
      <c r="G7" s="325">
        <f>IF(G8="","",SUM(G6*G8))</f>
        <v>0.03</v>
      </c>
      <c r="H7" s="327"/>
      <c r="I7" s="125"/>
      <c r="J7" s="22"/>
      <c r="K7" s="318" t="s">
        <v>202</v>
      </c>
      <c r="L7" s="307">
        <f>STAMMDATEN!F21</f>
        <v>0</v>
      </c>
      <c r="M7" s="123">
        <f>IF(M3="","",SUM(M6*(1+L7)))</f>
      </c>
      <c r="N7" s="123">
        <f>IF(N3="","",SUM(N6*(1+L7)))</f>
      </c>
      <c r="O7" s="143"/>
      <c r="P7" s="339"/>
      <c r="Q7" s="617"/>
      <c r="T7" s="617"/>
      <c r="V7" s="628" t="s">
        <v>195</v>
      </c>
      <c r="W7" s="628"/>
      <c r="X7" s="628"/>
    </row>
    <row r="8" spans="1:24" ht="26.25" customHeight="1">
      <c r="A8" s="144">
        <f>STAMMDATEN!F20</f>
        <v>0.16</v>
      </c>
      <c r="B8" s="622">
        <f>STAMMDATEN!H20</f>
        <v>35886</v>
      </c>
      <c r="C8" s="623"/>
      <c r="D8" s="153" t="s">
        <v>145</v>
      </c>
      <c r="E8" s="29">
        <f>STAMMDATEN!V16</f>
        <v>0.31</v>
      </c>
      <c r="F8" s="317" t="s">
        <v>208</v>
      </c>
      <c r="G8" s="29">
        <f>STAMMDATEN!W16</f>
        <v>0.03</v>
      </c>
      <c r="H8" s="317" t="s">
        <v>209</v>
      </c>
      <c r="I8" s="201"/>
      <c r="J8" s="202"/>
      <c r="K8" s="598" t="s">
        <v>183</v>
      </c>
      <c r="L8" s="599"/>
      <c r="M8" s="624" t="s">
        <v>184</v>
      </c>
      <c r="N8" s="624"/>
      <c r="O8" s="55"/>
      <c r="P8" s="147"/>
      <c r="Q8" s="617"/>
      <c r="T8" s="617"/>
      <c r="V8" s="627" t="s">
        <v>196</v>
      </c>
      <c r="W8" s="627"/>
      <c r="X8" s="627"/>
    </row>
    <row r="9" spans="1:21" ht="12.75">
      <c r="A9" s="148" t="s">
        <v>162</v>
      </c>
      <c r="B9" s="128"/>
      <c r="C9" s="30" t="s">
        <v>50</v>
      </c>
      <c r="D9" s="424">
        <f>SUM(E9,G9,I9,K9)</f>
        <v>2</v>
      </c>
      <c r="E9" s="138">
        <f>IF(E8="","",1)</f>
        <v>1</v>
      </c>
      <c r="F9" s="128"/>
      <c r="G9" s="138">
        <f>IF(G8="","",1)</f>
        <v>1</v>
      </c>
      <c r="H9" s="128"/>
      <c r="I9" s="210" t="s">
        <v>67</v>
      </c>
      <c r="J9" s="212" t="s">
        <v>65</v>
      </c>
      <c r="K9" s="210" t="s">
        <v>67</v>
      </c>
      <c r="L9" s="212" t="s">
        <v>65</v>
      </c>
      <c r="M9" s="210" t="s">
        <v>67</v>
      </c>
      <c r="N9" s="212" t="s">
        <v>65</v>
      </c>
      <c r="O9" s="135"/>
      <c r="P9" s="168" t="str">
        <f ca="1">CELL("dateiname")</f>
        <v>D:\HOAI\aktuell16\[DEM§16_6.xls]BITTE LESEN !</v>
      </c>
      <c r="Q9" s="617"/>
      <c r="T9" s="617"/>
      <c r="U9" s="389" t="s">
        <v>237</v>
      </c>
    </row>
    <row r="10" spans="1:26" ht="12.75">
      <c r="A10" s="148" t="s">
        <v>161</v>
      </c>
      <c r="B10" s="128"/>
      <c r="C10" s="30" t="s">
        <v>69</v>
      </c>
      <c r="D10" s="30" t="s">
        <v>51</v>
      </c>
      <c r="E10" s="128"/>
      <c r="F10" s="43"/>
      <c r="G10" s="30"/>
      <c r="H10" s="30"/>
      <c r="I10" s="597" t="s">
        <v>153</v>
      </c>
      <c r="J10" s="597"/>
      <c r="K10" s="203">
        <f>L6</f>
        <v>0.2</v>
      </c>
      <c r="L10" s="203">
        <f>L6</f>
        <v>0.2</v>
      </c>
      <c r="M10" s="200">
        <f>L7</f>
        <v>0</v>
      </c>
      <c r="N10" s="200">
        <f>L7</f>
        <v>0</v>
      </c>
      <c r="O10" s="550" t="s">
        <v>154</v>
      </c>
      <c r="P10" s="138" t="s">
        <v>157</v>
      </c>
      <c r="Q10" s="617"/>
      <c r="R10" s="222" t="s">
        <v>32</v>
      </c>
      <c r="S10" s="421" t="s">
        <v>224</v>
      </c>
      <c r="T10" s="617"/>
      <c r="U10" s="389" t="s">
        <v>231</v>
      </c>
      <c r="V10" s="214" t="s">
        <v>192</v>
      </c>
      <c r="W10" s="214" t="s">
        <v>193</v>
      </c>
      <c r="X10" s="214" t="s">
        <v>194</v>
      </c>
      <c r="Y10" s="214" t="s">
        <v>56</v>
      </c>
      <c r="Z10" s="214" t="s">
        <v>157</v>
      </c>
    </row>
    <row r="11" spans="1:26" ht="12.75" customHeight="1">
      <c r="A11" s="147" t="str">
        <f>IF(C11="","",IF($M$2=0,$N$1,IF($N$2&lt;=D11,$N$1,$M$1)))</f>
        <v>D</v>
      </c>
      <c r="B11" s="154">
        <f>IF(C11="","",IF(SUM(E11)=0,"",IF(E11="","",IF($B$8&lt;=D11,$A$8,$A$7))))</f>
      </c>
      <c r="C11" s="134">
        <f>STAMMDATEN!L20</f>
        <v>1</v>
      </c>
      <c r="D11" s="129">
        <f>IF(C11="","",STAMMDATEN!N20)</f>
        <v>35920</v>
      </c>
      <c r="E11" s="131">
        <f>IF($E$6="","",IF($C11="","",IF(STAMMDATEN!V20="",E10,STAMMDATEN!V20)))</f>
        <v>0</v>
      </c>
      <c r="F11" s="132">
        <f>IF($F$3=0,"",IF(E11="","",IF($C11=0,"",IF($N$3="",(F$4*E11),IF($M$3="",(F$5*E11),IF($D11&gt;=$N$2,(F$5*E11),(F$4*E11)))))))</f>
      </c>
      <c r="G11" s="31"/>
      <c r="H11" s="31"/>
      <c r="I11" s="132">
        <f>IF($A11=$C$4,($F11),"")</f>
      </c>
      <c r="J11" s="132">
        <f>IF($A11=$C$5,($F11),"")</f>
      </c>
      <c r="K11" s="130">
        <f>IF($A11=$C$4,SUM(I11:J11)*K$10,"")</f>
      </c>
      <c r="L11" s="130">
        <f>IF($A11=$C$5,SUM(I11:J11)*K$10,"")</f>
        <v>0</v>
      </c>
      <c r="M11" s="132">
        <f>IF($A11=$C$4,SUM(I11:L11)*M$10,"")</f>
      </c>
      <c r="N11" s="132">
        <f>IF($A11=$C$5,SUM(I11:L11)*N$10,"")</f>
        <v>0</v>
      </c>
      <c r="O11" s="132">
        <f>SUM(I11:N11)</f>
        <v>0</v>
      </c>
      <c r="P11" s="387" t="s">
        <v>213</v>
      </c>
      <c r="Q11" s="340"/>
      <c r="R11" s="378">
        <f aca="true" t="shared" si="0" ref="R11:R30">IF($B11="","",($B11*SUM(O11:O11)))</f>
      </c>
      <c r="S11" s="422"/>
      <c r="T11" s="382"/>
      <c r="U11" s="389" t="s">
        <v>230</v>
      </c>
      <c r="V11" s="123">
        <f>SUM('LPH 1-4'!M11:P11)</f>
        <v>0</v>
      </c>
      <c r="W11" s="123">
        <f>SUM('LPH 5-7'!K11:N11)</f>
        <v>0</v>
      </c>
      <c r="X11" s="123">
        <f>SUM(I11:L11)</f>
        <v>0</v>
      </c>
      <c r="Y11" s="123">
        <f>SUM(V11:X11)</f>
        <v>0</v>
      </c>
      <c r="Z11" s="55"/>
    </row>
    <row r="12" spans="1:26" ht="12.75">
      <c r="A12" s="147" t="str">
        <f>IF(C12="","",IF($M$2=0,$N$1,IF($N$2&lt;=D12,$N$1,$M$1)))</f>
        <v>D</v>
      </c>
      <c r="B12" s="33">
        <f>IF(C12="","",IF(SUM(E12)=0,"",IF(SUM(E11)=1,B11,IF($B$8&lt;=D12,$A$8,$A$7))))</f>
      </c>
      <c r="C12" s="134">
        <f>STAMMDATEN!L21</f>
        <v>2</v>
      </c>
      <c r="D12" s="129">
        <f>IF(C12="","",STAMMDATEN!N21)</f>
        <v>35921</v>
      </c>
      <c r="E12" s="131">
        <f>IF($E$6="","",IF($C12="","",IF(STAMMDATEN!V21="",E11,STAMMDATEN!V21)))</f>
        <v>0</v>
      </c>
      <c r="F12" s="132">
        <f aca="true" t="shared" si="1" ref="F12:F29">IF($F$3=0,"",IF(E12="","",IF($C12=0,"",IF($N$3="",(F$4*E12),IF($M$3="",(F$5*E12),IF($D12&gt;=$N$2,(F$5*E12),(F$4*E12)))))))</f>
      </c>
      <c r="G12" s="31"/>
      <c r="H12" s="31"/>
      <c r="I12" s="132">
        <f aca="true" t="shared" si="2" ref="I12:I30">IF(A12=$C$4,($F12),"")</f>
      </c>
      <c r="J12" s="132">
        <f aca="true" t="shared" si="3" ref="J12:J30">IF(A12=$C$5,($F12),"")</f>
      </c>
      <c r="K12" s="130">
        <f aca="true" t="shared" si="4" ref="K12:K30">IF($A12=$C$4,SUM(I12:J12)*K$10,"")</f>
      </c>
      <c r="L12" s="130">
        <f aca="true" t="shared" si="5" ref="L12:L29">IF($A12=$C$5,SUM(I12:J12)*K$10,"")</f>
        <v>0</v>
      </c>
      <c r="M12" s="132">
        <f aca="true" t="shared" si="6" ref="M12:M30">IF($A12=$C$4,SUM(I12:L12)*M$10,"")</f>
      </c>
      <c r="N12" s="132">
        <f aca="true" t="shared" si="7" ref="N12:N30">IF($A12=$C$5,SUM(I12:L12)*N$10,"")</f>
        <v>0</v>
      </c>
      <c r="O12" s="132">
        <f aca="true" t="shared" si="8" ref="O12:O30">SUM(I12:N12)</f>
        <v>0</v>
      </c>
      <c r="P12" s="132">
        <f>IF($C12="","",O11)</f>
        <v>0</v>
      </c>
      <c r="Q12" s="138">
        <f>IF($B12="","",IF(SUM($E11,$G11)/$D$9=1,"",IF(SUM($E12,$G12)/$D$9=1,1,"")))</f>
      </c>
      <c r="R12" s="378">
        <f t="shared" si="0"/>
      </c>
      <c r="S12" s="423">
        <f aca="true" t="shared" si="9" ref="S12:S30">IF($B12="","",IF(R11="","",IF($C12=$C11,"",IF(SUM($E11,$G11)/$D$9=1,"",SUM($B12-$B11)*SUM(O11:O11)))))</f>
      </c>
      <c r="T12" s="381">
        <f>IF($B12="","",IF($B11="","",IF($B11=$A$8,"",IF($B12=$B11,"",$C12))))</f>
      </c>
      <c r="U12" s="221">
        <f>IF(T12=$C12,$D12,"")</f>
      </c>
      <c r="V12" s="123">
        <f>SUM('LPH 1-4'!M12:P12)</f>
        <v>0</v>
      </c>
      <c r="W12" s="123">
        <f>SUM('LPH 5-7'!K12:N12)</f>
        <v>0</v>
      </c>
      <c r="X12" s="123">
        <f aca="true" t="shared" si="10" ref="X12:X35">SUM(I12:L12)</f>
        <v>0</v>
      </c>
      <c r="Y12" s="123">
        <f aca="true" t="shared" si="11" ref="Y12:Y35">SUM(V12:X12)</f>
        <v>0</v>
      </c>
      <c r="Z12" s="123">
        <f>IF(D12="","",SUM('LPH 1-4'!T12+'LPH 5-7'!R12+P12))</f>
        <v>0</v>
      </c>
    </row>
    <row r="13" spans="1:26" ht="12.75">
      <c r="A13" s="147">
        <f aca="true" t="shared" si="12" ref="A13:A30">IF(C13="","",IF($M$2=0,$N$1,IF($N$2&lt;=D13,$N$1,$M$1)))</f>
      </c>
      <c r="B13" s="33">
        <f>IF(C13="","",IF(SUM(E13)=0,"",IF(SUM(E12)=1,B12,IF($B$8&lt;=D13,$A$8,$A$7))))</f>
      </c>
      <c r="C13" s="134">
        <f>STAMMDATEN!L22</f>
      </c>
      <c r="D13" s="129">
        <f>IF(C13="","",STAMMDATEN!N22)</f>
      </c>
      <c r="E13" s="131">
        <f>IF($E$6="","",IF($C13="","",IF(STAMMDATEN!V22="",E12,STAMMDATEN!V22)))</f>
      </c>
      <c r="F13" s="132">
        <f t="shared" si="1"/>
      </c>
      <c r="G13" s="31"/>
      <c r="H13" s="31"/>
      <c r="I13" s="132">
        <f t="shared" si="2"/>
      </c>
      <c r="J13" s="132">
        <f t="shared" si="3"/>
      </c>
      <c r="K13" s="130">
        <f t="shared" si="4"/>
      </c>
      <c r="L13" s="130">
        <f t="shared" si="5"/>
      </c>
      <c r="M13" s="132">
        <f t="shared" si="6"/>
      </c>
      <c r="N13" s="132">
        <f t="shared" si="7"/>
      </c>
      <c r="O13" s="132">
        <f t="shared" si="8"/>
        <v>0</v>
      </c>
      <c r="P13" s="132">
        <f>IF($C13="","",MAX(O$11:O12))</f>
      </c>
      <c r="Q13" s="138">
        <f aca="true" t="shared" si="13" ref="Q13:Q30">IF($B13="","",IF(SUM($E12,$G12)/$D$9=1,"",IF(SUM($E13,$G13)/$D$9=1,1,"")))</f>
      </c>
      <c r="R13" s="378">
        <f t="shared" si="0"/>
      </c>
      <c r="S13" s="423">
        <f t="shared" si="9"/>
      </c>
      <c r="T13" s="381">
        <f aca="true" t="shared" si="14" ref="T13:T30">IF($B13="","",IF($B12="","",IF($B12=$A$8,"",IF($B13=$B12,"",$C13))))</f>
      </c>
      <c r="U13" s="221">
        <f aca="true" t="shared" si="15" ref="U13:U30">IF(T13=$C13,$D13,"")</f>
      </c>
      <c r="V13" s="123">
        <f>SUM('LPH 1-4'!M13:P13)</f>
        <v>0</v>
      </c>
      <c r="W13" s="123">
        <f>SUM('LPH 5-7'!K13:N13)</f>
        <v>0</v>
      </c>
      <c r="X13" s="123">
        <f t="shared" si="10"/>
        <v>0</v>
      </c>
      <c r="Y13" s="123">
        <f t="shared" si="11"/>
        <v>0</v>
      </c>
      <c r="Z13" s="123">
        <f>IF(D13="","",SUM('LPH 1-4'!T13+'LPH 5-7'!R13+P13))</f>
      </c>
    </row>
    <row r="14" spans="1:26" ht="12.75">
      <c r="A14" s="147">
        <f t="shared" si="12"/>
      </c>
      <c r="B14" s="33">
        <f aca="true" t="shared" si="16" ref="B14:B30">IF(C14="","",IF(SUM(E14)=0,"",IF(SUM(E13)=1,B13,IF($B$8&lt;=D14,$A$8,$A$7))))</f>
      </c>
      <c r="C14" s="134">
        <f>STAMMDATEN!L23</f>
      </c>
      <c r="D14" s="129">
        <f>IF(C14="","",STAMMDATEN!N23)</f>
      </c>
      <c r="E14" s="131">
        <f>IF($E$6="","",IF($C14="","",IF(STAMMDATEN!V23="",E13,STAMMDATEN!V23)))</f>
      </c>
      <c r="F14" s="132">
        <f t="shared" si="1"/>
      </c>
      <c r="G14" s="31"/>
      <c r="H14" s="31"/>
      <c r="I14" s="132">
        <f t="shared" si="2"/>
      </c>
      <c r="J14" s="132">
        <f t="shared" si="3"/>
      </c>
      <c r="K14" s="130">
        <f t="shared" si="4"/>
      </c>
      <c r="L14" s="130">
        <f t="shared" si="5"/>
      </c>
      <c r="M14" s="132">
        <f t="shared" si="6"/>
      </c>
      <c r="N14" s="132">
        <f t="shared" si="7"/>
      </c>
      <c r="O14" s="132">
        <f t="shared" si="8"/>
        <v>0</v>
      </c>
      <c r="P14" s="132">
        <f>IF($C14="","",MAX(O$11:O13))</f>
      </c>
      <c r="Q14" s="138">
        <f t="shared" si="13"/>
      </c>
      <c r="R14" s="378">
        <f t="shared" si="0"/>
      </c>
      <c r="S14" s="423">
        <f t="shared" si="9"/>
      </c>
      <c r="T14" s="381">
        <f t="shared" si="14"/>
      </c>
      <c r="U14" s="221">
        <f t="shared" si="15"/>
      </c>
      <c r="V14" s="123">
        <f>SUM('LPH 1-4'!M14:P14)</f>
        <v>0</v>
      </c>
      <c r="W14" s="123">
        <f>SUM('LPH 5-7'!K14:N14)</f>
        <v>0</v>
      </c>
      <c r="X14" s="123">
        <f t="shared" si="10"/>
        <v>0</v>
      </c>
      <c r="Y14" s="123">
        <f t="shared" si="11"/>
        <v>0</v>
      </c>
      <c r="Z14" s="123">
        <f>IF(D14="","",SUM('LPH 1-4'!T14+'LPH 5-7'!R14+P14))</f>
      </c>
    </row>
    <row r="15" spans="1:26" ht="12.75">
      <c r="A15" s="147">
        <f t="shared" si="12"/>
      </c>
      <c r="B15" s="33">
        <f t="shared" si="16"/>
      </c>
      <c r="C15" s="134">
        <f>STAMMDATEN!L24</f>
      </c>
      <c r="D15" s="129">
        <f>IF(C15="","",STAMMDATEN!N24)</f>
      </c>
      <c r="E15" s="131">
        <f>IF($E$6="","",IF($C15="","",IF(STAMMDATEN!V24="",E14,STAMMDATEN!V24)))</f>
      </c>
      <c r="F15" s="132">
        <f t="shared" si="1"/>
      </c>
      <c r="G15" s="31"/>
      <c r="H15" s="31"/>
      <c r="I15" s="132">
        <f t="shared" si="2"/>
      </c>
      <c r="J15" s="132">
        <f t="shared" si="3"/>
      </c>
      <c r="K15" s="130">
        <f t="shared" si="4"/>
      </c>
      <c r="L15" s="130">
        <f t="shared" si="5"/>
      </c>
      <c r="M15" s="132">
        <f t="shared" si="6"/>
      </c>
      <c r="N15" s="132">
        <f t="shared" si="7"/>
      </c>
      <c r="O15" s="132">
        <f t="shared" si="8"/>
        <v>0</v>
      </c>
      <c r="P15" s="132">
        <f>IF($C15="","",MAX(O$11:O14))</f>
      </c>
      <c r="Q15" s="138">
        <f t="shared" si="13"/>
      </c>
      <c r="R15" s="378">
        <f t="shared" si="0"/>
      </c>
      <c r="S15" s="423">
        <f t="shared" si="9"/>
      </c>
      <c r="T15" s="381">
        <f t="shared" si="14"/>
      </c>
      <c r="U15" s="221">
        <f t="shared" si="15"/>
      </c>
      <c r="V15" s="123">
        <f>SUM('LPH 1-4'!M15:P15)</f>
        <v>0</v>
      </c>
      <c r="W15" s="123">
        <f>SUM('LPH 5-7'!K15:N15)</f>
        <v>0</v>
      </c>
      <c r="X15" s="123">
        <f t="shared" si="10"/>
        <v>0</v>
      </c>
      <c r="Y15" s="123">
        <f t="shared" si="11"/>
        <v>0</v>
      </c>
      <c r="Z15" s="123">
        <f>IF(D15="","",SUM('LPH 1-4'!T15+'LPH 5-7'!R15+P15))</f>
      </c>
    </row>
    <row r="16" spans="1:26" ht="12.75">
      <c r="A16" s="147">
        <f t="shared" si="12"/>
      </c>
      <c r="B16" s="33">
        <f t="shared" si="16"/>
      </c>
      <c r="C16" s="134">
        <f>STAMMDATEN!L25</f>
      </c>
      <c r="D16" s="129">
        <f>IF(C16="","",STAMMDATEN!N25)</f>
      </c>
      <c r="E16" s="131">
        <f>IF($E$6="","",IF($C16="","",IF(STAMMDATEN!V25="",E15,STAMMDATEN!V25)))</f>
      </c>
      <c r="F16" s="132">
        <f t="shared" si="1"/>
      </c>
      <c r="G16" s="31"/>
      <c r="H16" s="31"/>
      <c r="I16" s="132">
        <f t="shared" si="2"/>
      </c>
      <c r="J16" s="132">
        <f t="shared" si="3"/>
      </c>
      <c r="K16" s="130">
        <f t="shared" si="4"/>
      </c>
      <c r="L16" s="130">
        <f t="shared" si="5"/>
      </c>
      <c r="M16" s="132">
        <f t="shared" si="6"/>
      </c>
      <c r="N16" s="132">
        <f t="shared" si="7"/>
      </c>
      <c r="O16" s="132">
        <f t="shared" si="8"/>
        <v>0</v>
      </c>
      <c r="P16" s="132">
        <f>IF($C16="","",MAX(O$11:O15))</f>
      </c>
      <c r="Q16" s="138">
        <f t="shared" si="13"/>
      </c>
      <c r="R16" s="378">
        <f t="shared" si="0"/>
      </c>
      <c r="S16" s="423">
        <f t="shared" si="9"/>
      </c>
      <c r="T16" s="381">
        <f t="shared" si="14"/>
      </c>
      <c r="U16" s="221">
        <f t="shared" si="15"/>
      </c>
      <c r="V16" s="123">
        <f>SUM('LPH 1-4'!M16:P16)</f>
        <v>0</v>
      </c>
      <c r="W16" s="123">
        <f>SUM('LPH 5-7'!K16:N16)</f>
        <v>0</v>
      </c>
      <c r="X16" s="123">
        <f t="shared" si="10"/>
        <v>0</v>
      </c>
      <c r="Y16" s="123">
        <f t="shared" si="11"/>
        <v>0</v>
      </c>
      <c r="Z16" s="123">
        <f>IF(D16="","",SUM('LPH 1-4'!T16+'LPH 5-7'!R16+P16))</f>
      </c>
    </row>
    <row r="17" spans="1:26" ht="12.75">
      <c r="A17" s="147">
        <f t="shared" si="12"/>
      </c>
      <c r="B17" s="33">
        <f t="shared" si="16"/>
      </c>
      <c r="C17" s="134">
        <f>STAMMDATEN!L26</f>
      </c>
      <c r="D17" s="129">
        <f>IF(C17="","",STAMMDATEN!N26)</f>
      </c>
      <c r="E17" s="131">
        <f>IF($E$6="","",IF($C17="","",IF(STAMMDATEN!V26="",E16,STAMMDATEN!V26)))</f>
      </c>
      <c r="F17" s="132">
        <f t="shared" si="1"/>
      </c>
      <c r="G17" s="31"/>
      <c r="H17" s="31"/>
      <c r="I17" s="132">
        <f t="shared" si="2"/>
      </c>
      <c r="J17" s="132">
        <f t="shared" si="3"/>
      </c>
      <c r="K17" s="130">
        <f t="shared" si="4"/>
      </c>
      <c r="L17" s="130">
        <f t="shared" si="5"/>
      </c>
      <c r="M17" s="132">
        <f t="shared" si="6"/>
      </c>
      <c r="N17" s="132">
        <f t="shared" si="7"/>
      </c>
      <c r="O17" s="132">
        <f t="shared" si="8"/>
        <v>0</v>
      </c>
      <c r="P17" s="132">
        <f>IF($C17="","",MAX(O$11:O16))</f>
      </c>
      <c r="Q17" s="138">
        <f t="shared" si="13"/>
      </c>
      <c r="R17" s="378">
        <f t="shared" si="0"/>
      </c>
      <c r="S17" s="423">
        <f t="shared" si="9"/>
      </c>
      <c r="T17" s="381">
        <f t="shared" si="14"/>
      </c>
      <c r="U17" s="221">
        <f t="shared" si="15"/>
      </c>
      <c r="V17" s="123">
        <f>SUM('LPH 1-4'!M17:P17)</f>
        <v>0</v>
      </c>
      <c r="W17" s="123">
        <f>SUM('LPH 5-7'!K17:N17)</f>
        <v>0</v>
      </c>
      <c r="X17" s="123">
        <f t="shared" si="10"/>
        <v>0</v>
      </c>
      <c r="Y17" s="123">
        <f t="shared" si="11"/>
        <v>0</v>
      </c>
      <c r="Z17" s="123">
        <f>IF(D17="","",SUM('LPH 1-4'!T17+'LPH 5-7'!R17+P17))</f>
      </c>
    </row>
    <row r="18" spans="1:26" ht="12.75">
      <c r="A18" s="147">
        <f t="shared" si="12"/>
      </c>
      <c r="B18" s="33">
        <f t="shared" si="16"/>
      </c>
      <c r="C18" s="134">
        <f>STAMMDATEN!L27</f>
      </c>
      <c r="D18" s="129">
        <f>IF(C18="","",STAMMDATEN!N27)</f>
      </c>
      <c r="E18" s="131">
        <f>IF($E$6="","",IF($C18="","",IF(STAMMDATEN!V27="",E17,STAMMDATEN!V27)))</f>
      </c>
      <c r="F18" s="132">
        <f t="shared" si="1"/>
      </c>
      <c r="G18" s="31"/>
      <c r="H18" s="31"/>
      <c r="I18" s="132">
        <f t="shared" si="2"/>
      </c>
      <c r="J18" s="132">
        <f t="shared" si="3"/>
      </c>
      <c r="K18" s="130">
        <f t="shared" si="4"/>
      </c>
      <c r="L18" s="130">
        <f t="shared" si="5"/>
      </c>
      <c r="M18" s="132">
        <f t="shared" si="6"/>
      </c>
      <c r="N18" s="132">
        <f t="shared" si="7"/>
      </c>
      <c r="O18" s="132">
        <f t="shared" si="8"/>
        <v>0</v>
      </c>
      <c r="P18" s="132">
        <f>IF($C18="","",MAX(O$11:O17))</f>
      </c>
      <c r="Q18" s="138">
        <f t="shared" si="13"/>
      </c>
      <c r="R18" s="378">
        <f t="shared" si="0"/>
      </c>
      <c r="S18" s="423">
        <f t="shared" si="9"/>
      </c>
      <c r="T18" s="381">
        <f t="shared" si="14"/>
      </c>
      <c r="U18" s="221">
        <f t="shared" si="15"/>
      </c>
      <c r="V18" s="123">
        <f>SUM('LPH 1-4'!M18:P18)</f>
        <v>0</v>
      </c>
      <c r="W18" s="123">
        <f>SUM('LPH 5-7'!K18:N18)</f>
        <v>0</v>
      </c>
      <c r="X18" s="123">
        <f t="shared" si="10"/>
        <v>0</v>
      </c>
      <c r="Y18" s="123">
        <f t="shared" si="11"/>
        <v>0</v>
      </c>
      <c r="Z18" s="123">
        <f>IF(D18="","",SUM('LPH 1-4'!T18+'LPH 5-7'!R18+P18))</f>
      </c>
    </row>
    <row r="19" spans="1:26" ht="12.75">
      <c r="A19" s="147">
        <f t="shared" si="12"/>
      </c>
      <c r="B19" s="33">
        <f t="shared" si="16"/>
      </c>
      <c r="C19" s="134">
        <f>STAMMDATEN!L28</f>
      </c>
      <c r="D19" s="129">
        <f>IF(C19="","",STAMMDATEN!N28)</f>
      </c>
      <c r="E19" s="131">
        <f>IF($E$6="","",IF($C19="","",IF(STAMMDATEN!V28="",E18,STAMMDATEN!V28)))</f>
      </c>
      <c r="F19" s="132">
        <f t="shared" si="1"/>
      </c>
      <c r="G19" s="31"/>
      <c r="H19" s="31"/>
      <c r="I19" s="132">
        <f t="shared" si="2"/>
      </c>
      <c r="J19" s="132">
        <f t="shared" si="3"/>
      </c>
      <c r="K19" s="130">
        <f t="shared" si="4"/>
      </c>
      <c r="L19" s="130">
        <f t="shared" si="5"/>
      </c>
      <c r="M19" s="132">
        <f t="shared" si="6"/>
      </c>
      <c r="N19" s="132">
        <f t="shared" si="7"/>
      </c>
      <c r="O19" s="132">
        <f t="shared" si="8"/>
        <v>0</v>
      </c>
      <c r="P19" s="132">
        <f>IF($C19="","",MAX(O$11:O18))</f>
      </c>
      <c r="Q19" s="138">
        <f t="shared" si="13"/>
      </c>
      <c r="R19" s="378">
        <f t="shared" si="0"/>
      </c>
      <c r="S19" s="423">
        <f t="shared" si="9"/>
      </c>
      <c r="T19" s="381">
        <f t="shared" si="14"/>
      </c>
      <c r="U19" s="221">
        <f t="shared" si="15"/>
      </c>
      <c r="V19" s="123">
        <f>SUM('LPH 1-4'!M19:P19)</f>
        <v>0</v>
      </c>
      <c r="W19" s="123">
        <f>SUM('LPH 5-7'!K19:N19)</f>
        <v>0</v>
      </c>
      <c r="X19" s="123">
        <f t="shared" si="10"/>
        <v>0</v>
      </c>
      <c r="Y19" s="123">
        <f t="shared" si="11"/>
        <v>0</v>
      </c>
      <c r="Z19" s="123">
        <f>IF(D19="","",SUM('LPH 1-4'!T19+'LPH 5-7'!R19+P19))</f>
      </c>
    </row>
    <row r="20" spans="1:26" ht="12.75">
      <c r="A20" s="147">
        <f t="shared" si="12"/>
      </c>
      <c r="B20" s="33">
        <f t="shared" si="16"/>
      </c>
      <c r="C20" s="134">
        <f>STAMMDATEN!L29</f>
      </c>
      <c r="D20" s="129">
        <f>IF(C20="","",STAMMDATEN!N29)</f>
      </c>
      <c r="E20" s="131">
        <f>IF($E$6="","",IF($C20="","",IF(STAMMDATEN!V29="",E19,STAMMDATEN!V29)))</f>
      </c>
      <c r="F20" s="132">
        <f t="shared" si="1"/>
      </c>
      <c r="G20" s="31"/>
      <c r="H20" s="31"/>
      <c r="I20" s="132">
        <f t="shared" si="2"/>
      </c>
      <c r="J20" s="132">
        <f t="shared" si="3"/>
      </c>
      <c r="K20" s="130">
        <f t="shared" si="4"/>
      </c>
      <c r="L20" s="130">
        <f t="shared" si="5"/>
      </c>
      <c r="M20" s="132">
        <f t="shared" si="6"/>
      </c>
      <c r="N20" s="132">
        <f t="shared" si="7"/>
      </c>
      <c r="O20" s="132">
        <f t="shared" si="8"/>
        <v>0</v>
      </c>
      <c r="P20" s="132">
        <f>IF($C20="","",MAX(O$11:O19))</f>
      </c>
      <c r="Q20" s="138">
        <f t="shared" si="13"/>
      </c>
      <c r="R20" s="378">
        <f t="shared" si="0"/>
      </c>
      <c r="S20" s="423">
        <f t="shared" si="9"/>
      </c>
      <c r="T20" s="381">
        <f t="shared" si="14"/>
      </c>
      <c r="U20" s="221">
        <f t="shared" si="15"/>
      </c>
      <c r="V20" s="123">
        <f>SUM('LPH 1-4'!M20:P20)</f>
        <v>0</v>
      </c>
      <c r="W20" s="123">
        <f>SUM('LPH 5-7'!K20:N20)</f>
        <v>0</v>
      </c>
      <c r="X20" s="123">
        <f t="shared" si="10"/>
        <v>0</v>
      </c>
      <c r="Y20" s="123">
        <f t="shared" si="11"/>
        <v>0</v>
      </c>
      <c r="Z20" s="123">
        <f>IF(D20="","",SUM('LPH 1-4'!T20+'LPH 5-7'!R20+P20))</f>
      </c>
    </row>
    <row r="21" spans="1:26" ht="12.75">
      <c r="A21" s="147">
        <f t="shared" si="12"/>
      </c>
      <c r="B21" s="33">
        <f t="shared" si="16"/>
      </c>
      <c r="C21" s="134">
        <f>STAMMDATEN!L30</f>
      </c>
      <c r="D21" s="129">
        <f>IF(C21="","",STAMMDATEN!N30)</f>
      </c>
      <c r="E21" s="131">
        <f>IF($E$6="","",IF($C21="","",IF(STAMMDATEN!V30="",E20,STAMMDATEN!V30)))</f>
      </c>
      <c r="F21" s="132">
        <f t="shared" si="1"/>
      </c>
      <c r="G21" s="31"/>
      <c r="H21" s="31"/>
      <c r="I21" s="132">
        <f t="shared" si="2"/>
      </c>
      <c r="J21" s="132">
        <f t="shared" si="3"/>
      </c>
      <c r="K21" s="130">
        <f t="shared" si="4"/>
      </c>
      <c r="L21" s="130">
        <f t="shared" si="5"/>
      </c>
      <c r="M21" s="132">
        <f t="shared" si="6"/>
      </c>
      <c r="N21" s="132">
        <f t="shared" si="7"/>
      </c>
      <c r="O21" s="132">
        <f t="shared" si="8"/>
        <v>0</v>
      </c>
      <c r="P21" s="132">
        <f>IF($C21="","",MAX(O$11:O20))</f>
      </c>
      <c r="Q21" s="138">
        <f t="shared" si="13"/>
      </c>
      <c r="R21" s="378">
        <f t="shared" si="0"/>
      </c>
      <c r="S21" s="423">
        <f t="shared" si="9"/>
      </c>
      <c r="T21" s="381">
        <f t="shared" si="14"/>
      </c>
      <c r="U21" s="221">
        <f t="shared" si="15"/>
      </c>
      <c r="V21" s="123">
        <f>SUM('LPH 1-4'!M21:P21)</f>
        <v>0</v>
      </c>
      <c r="W21" s="123">
        <f>SUM('LPH 5-7'!K21:N21)</f>
        <v>0</v>
      </c>
      <c r="X21" s="123">
        <f t="shared" si="10"/>
        <v>0</v>
      </c>
      <c r="Y21" s="123">
        <f t="shared" si="11"/>
        <v>0</v>
      </c>
      <c r="Z21" s="123">
        <f>IF(D21="","",SUM('LPH 1-4'!T21+'LPH 5-7'!R21+P21))</f>
      </c>
    </row>
    <row r="22" spans="1:26" ht="12.75">
      <c r="A22" s="147">
        <f t="shared" si="12"/>
      </c>
      <c r="B22" s="33">
        <f t="shared" si="16"/>
      </c>
      <c r="C22" s="134">
        <f>STAMMDATEN!L31</f>
      </c>
      <c r="D22" s="129">
        <f>IF(C22="","",STAMMDATEN!N31)</f>
      </c>
      <c r="E22" s="131">
        <f>IF($E$6="","",IF($C22="","",IF(STAMMDATEN!V31="",E21,STAMMDATEN!V31)))</f>
      </c>
      <c r="F22" s="132">
        <f t="shared" si="1"/>
      </c>
      <c r="G22" s="31"/>
      <c r="H22" s="31"/>
      <c r="I22" s="132">
        <f t="shared" si="2"/>
      </c>
      <c r="J22" s="132">
        <f t="shared" si="3"/>
      </c>
      <c r="K22" s="130">
        <f t="shared" si="4"/>
      </c>
      <c r="L22" s="130">
        <f t="shared" si="5"/>
      </c>
      <c r="M22" s="132">
        <f t="shared" si="6"/>
      </c>
      <c r="N22" s="132">
        <f t="shared" si="7"/>
      </c>
      <c r="O22" s="132">
        <f t="shared" si="8"/>
        <v>0</v>
      </c>
      <c r="P22" s="132">
        <f>IF($C22="","",MAX(O$11:O21))</f>
      </c>
      <c r="Q22" s="138">
        <f t="shared" si="13"/>
      </c>
      <c r="R22" s="378">
        <f t="shared" si="0"/>
      </c>
      <c r="S22" s="423">
        <f t="shared" si="9"/>
      </c>
      <c r="T22" s="381">
        <f t="shared" si="14"/>
      </c>
      <c r="U22" s="221">
        <f t="shared" si="15"/>
      </c>
      <c r="V22" s="123">
        <f>SUM('LPH 1-4'!M22:P22)</f>
        <v>0</v>
      </c>
      <c r="W22" s="123">
        <f>SUM('LPH 5-7'!K22:N22)</f>
        <v>0</v>
      </c>
      <c r="X22" s="123">
        <f t="shared" si="10"/>
        <v>0</v>
      </c>
      <c r="Y22" s="123">
        <f t="shared" si="11"/>
        <v>0</v>
      </c>
      <c r="Z22" s="123">
        <f>IF(D22="","",SUM('LPH 1-4'!T22+'LPH 5-7'!R22+P22))</f>
      </c>
    </row>
    <row r="23" spans="1:26" ht="12.75">
      <c r="A23" s="147">
        <f t="shared" si="12"/>
      </c>
      <c r="B23" s="33">
        <f t="shared" si="16"/>
      </c>
      <c r="C23" s="134">
        <f>STAMMDATEN!L32</f>
      </c>
      <c r="D23" s="129">
        <f>IF(C23="","",STAMMDATEN!N32)</f>
      </c>
      <c r="E23" s="131">
        <f>IF($E$6="","",IF($C23="","",IF(STAMMDATEN!V32="",E22,STAMMDATEN!V32)))</f>
      </c>
      <c r="F23" s="132">
        <f t="shared" si="1"/>
      </c>
      <c r="G23" s="31"/>
      <c r="H23" s="31"/>
      <c r="I23" s="132">
        <f t="shared" si="2"/>
      </c>
      <c r="J23" s="132">
        <f t="shared" si="3"/>
      </c>
      <c r="K23" s="130">
        <f t="shared" si="4"/>
      </c>
      <c r="L23" s="130">
        <f t="shared" si="5"/>
      </c>
      <c r="M23" s="132">
        <f t="shared" si="6"/>
      </c>
      <c r="N23" s="132">
        <f t="shared" si="7"/>
      </c>
      <c r="O23" s="132">
        <f t="shared" si="8"/>
        <v>0</v>
      </c>
      <c r="P23" s="132">
        <f>IF($C23="","",MAX(O$11:O22))</f>
      </c>
      <c r="Q23" s="138">
        <f t="shared" si="13"/>
      </c>
      <c r="R23" s="378">
        <f t="shared" si="0"/>
      </c>
      <c r="S23" s="423">
        <f t="shared" si="9"/>
      </c>
      <c r="T23" s="381">
        <f t="shared" si="14"/>
      </c>
      <c r="U23" s="221">
        <f t="shared" si="15"/>
      </c>
      <c r="V23" s="123">
        <f>SUM('LPH 1-4'!M23:P23)</f>
        <v>0</v>
      </c>
      <c r="W23" s="123">
        <f>SUM('LPH 5-7'!K23:N23)</f>
        <v>0</v>
      </c>
      <c r="X23" s="123">
        <f t="shared" si="10"/>
        <v>0</v>
      </c>
      <c r="Y23" s="123">
        <f t="shared" si="11"/>
        <v>0</v>
      </c>
      <c r="Z23" s="123">
        <f>IF(D23="","",SUM('LPH 1-4'!T23+'LPH 5-7'!R23+P23))</f>
      </c>
    </row>
    <row r="24" spans="1:26" ht="12.75">
      <c r="A24" s="147">
        <f t="shared" si="12"/>
      </c>
      <c r="B24" s="33">
        <f t="shared" si="16"/>
      </c>
      <c r="C24" s="134">
        <f>STAMMDATEN!L33</f>
      </c>
      <c r="D24" s="129">
        <f>IF(C24="","",STAMMDATEN!N33)</f>
      </c>
      <c r="E24" s="131">
        <f>IF($E$6="","",IF($C24="","",IF(STAMMDATEN!V33="",E23,STAMMDATEN!V33)))</f>
      </c>
      <c r="F24" s="132">
        <f t="shared" si="1"/>
      </c>
      <c r="G24" s="31"/>
      <c r="H24" s="31"/>
      <c r="I24" s="132">
        <f t="shared" si="2"/>
      </c>
      <c r="J24" s="132">
        <f t="shared" si="3"/>
      </c>
      <c r="K24" s="130">
        <f t="shared" si="4"/>
      </c>
      <c r="L24" s="130">
        <f t="shared" si="5"/>
      </c>
      <c r="M24" s="132">
        <f t="shared" si="6"/>
      </c>
      <c r="N24" s="132">
        <f t="shared" si="7"/>
      </c>
      <c r="O24" s="132">
        <f t="shared" si="8"/>
        <v>0</v>
      </c>
      <c r="P24" s="132">
        <f>IF($C24="","",MAX(O$11:O23))</f>
      </c>
      <c r="Q24" s="138">
        <f t="shared" si="13"/>
      </c>
      <c r="R24" s="378">
        <f t="shared" si="0"/>
      </c>
      <c r="S24" s="423">
        <f t="shared" si="9"/>
      </c>
      <c r="T24" s="381">
        <f t="shared" si="14"/>
      </c>
      <c r="U24" s="221">
        <f t="shared" si="15"/>
      </c>
      <c r="V24" s="123">
        <f>SUM('LPH 1-4'!M24:P24)</f>
        <v>0</v>
      </c>
      <c r="W24" s="123">
        <f>SUM('LPH 5-7'!K24:N24)</f>
        <v>0</v>
      </c>
      <c r="X24" s="123">
        <f t="shared" si="10"/>
        <v>0</v>
      </c>
      <c r="Y24" s="123">
        <f t="shared" si="11"/>
        <v>0</v>
      </c>
      <c r="Z24" s="123">
        <f>IF(D24="","",SUM('LPH 1-4'!T24+'LPH 5-7'!R24+P24))</f>
      </c>
    </row>
    <row r="25" spans="1:26" ht="12.75">
      <c r="A25" s="147">
        <f t="shared" si="12"/>
      </c>
      <c r="B25" s="33">
        <f t="shared" si="16"/>
      </c>
      <c r="C25" s="134">
        <f>STAMMDATEN!L34</f>
      </c>
      <c r="D25" s="129">
        <f>IF(C25="","",STAMMDATEN!N34)</f>
      </c>
      <c r="E25" s="131">
        <f>IF($E$6="","",IF($C25="","",IF(STAMMDATEN!V34="",E24,STAMMDATEN!V34)))</f>
      </c>
      <c r="F25" s="132">
        <f t="shared" si="1"/>
      </c>
      <c r="G25" s="31"/>
      <c r="H25" s="31"/>
      <c r="I25" s="132">
        <f t="shared" si="2"/>
      </c>
      <c r="J25" s="132">
        <f t="shared" si="3"/>
      </c>
      <c r="K25" s="130">
        <f t="shared" si="4"/>
      </c>
      <c r="L25" s="130">
        <f t="shared" si="5"/>
      </c>
      <c r="M25" s="132">
        <f t="shared" si="6"/>
      </c>
      <c r="N25" s="132">
        <f t="shared" si="7"/>
      </c>
      <c r="O25" s="132">
        <f t="shared" si="8"/>
        <v>0</v>
      </c>
      <c r="P25" s="132">
        <f>IF($C25="","",MAX(O$11:O24))</f>
      </c>
      <c r="Q25" s="138">
        <f t="shared" si="13"/>
      </c>
      <c r="R25" s="378">
        <f t="shared" si="0"/>
      </c>
      <c r="S25" s="423">
        <f t="shared" si="9"/>
      </c>
      <c r="T25" s="381">
        <f t="shared" si="14"/>
      </c>
      <c r="U25" s="221">
        <f t="shared" si="15"/>
      </c>
      <c r="V25" s="123">
        <f>SUM('LPH 1-4'!M25:P25)</f>
        <v>0</v>
      </c>
      <c r="W25" s="123">
        <f>SUM('LPH 5-7'!K25:N25)</f>
        <v>0</v>
      </c>
      <c r="X25" s="123">
        <f t="shared" si="10"/>
        <v>0</v>
      </c>
      <c r="Y25" s="123">
        <f t="shared" si="11"/>
        <v>0</v>
      </c>
      <c r="Z25" s="123">
        <f>IF(D25="","",SUM('LPH 1-4'!T25+'LPH 5-7'!R25+P25))</f>
      </c>
    </row>
    <row r="26" spans="1:26" ht="12.75">
      <c r="A26" s="147">
        <f t="shared" si="12"/>
      </c>
      <c r="B26" s="33">
        <f t="shared" si="16"/>
      </c>
      <c r="C26" s="134">
        <f>STAMMDATEN!L35</f>
      </c>
      <c r="D26" s="129">
        <f>IF(C26="","",STAMMDATEN!N35)</f>
      </c>
      <c r="E26" s="131">
        <f>IF($E$6="","",IF($C26="","",IF(STAMMDATEN!V35="",E25,STAMMDATEN!V35)))</f>
      </c>
      <c r="F26" s="132">
        <f t="shared" si="1"/>
      </c>
      <c r="G26" s="31"/>
      <c r="H26" s="31"/>
      <c r="I26" s="132">
        <f t="shared" si="2"/>
      </c>
      <c r="J26" s="132">
        <f t="shared" si="3"/>
      </c>
      <c r="K26" s="130">
        <f t="shared" si="4"/>
      </c>
      <c r="L26" s="130">
        <f t="shared" si="5"/>
      </c>
      <c r="M26" s="132">
        <f t="shared" si="6"/>
      </c>
      <c r="N26" s="132">
        <f t="shared" si="7"/>
      </c>
      <c r="O26" s="132">
        <f t="shared" si="8"/>
        <v>0</v>
      </c>
      <c r="P26" s="132">
        <f>IF($C26="","",MAX(O$11:O25))</f>
      </c>
      <c r="Q26" s="138">
        <f t="shared" si="13"/>
      </c>
      <c r="R26" s="378">
        <f t="shared" si="0"/>
      </c>
      <c r="S26" s="423">
        <f t="shared" si="9"/>
      </c>
      <c r="T26" s="381">
        <f t="shared" si="14"/>
      </c>
      <c r="U26" s="221">
        <f t="shared" si="15"/>
      </c>
      <c r="V26" s="123">
        <f>SUM('LPH 1-4'!M26:P26)</f>
        <v>0</v>
      </c>
      <c r="W26" s="123">
        <f>SUM('LPH 5-7'!K26:N26)</f>
        <v>0</v>
      </c>
      <c r="X26" s="123">
        <f t="shared" si="10"/>
        <v>0</v>
      </c>
      <c r="Y26" s="123">
        <f t="shared" si="11"/>
        <v>0</v>
      </c>
      <c r="Z26" s="123">
        <f>IF(D26="","",SUM('LPH 1-4'!T26+'LPH 5-7'!R26+P26))</f>
      </c>
    </row>
    <row r="27" spans="1:26" ht="12.75">
      <c r="A27" s="147">
        <f t="shared" si="12"/>
      </c>
      <c r="B27" s="33">
        <f t="shared" si="16"/>
      </c>
      <c r="C27" s="134">
        <f>STAMMDATEN!L36</f>
      </c>
      <c r="D27" s="129">
        <f>IF(C27="","",STAMMDATEN!N36)</f>
      </c>
      <c r="E27" s="131">
        <f>IF($E$6="","",IF($C27="","",IF(STAMMDATEN!V36="",E26,STAMMDATEN!V36)))</f>
      </c>
      <c r="F27" s="132">
        <f t="shared" si="1"/>
      </c>
      <c r="G27" s="31"/>
      <c r="H27" s="31"/>
      <c r="I27" s="132">
        <f t="shared" si="2"/>
      </c>
      <c r="J27" s="132">
        <f t="shared" si="3"/>
      </c>
      <c r="K27" s="130">
        <f t="shared" si="4"/>
      </c>
      <c r="L27" s="130">
        <f t="shared" si="5"/>
      </c>
      <c r="M27" s="132">
        <f t="shared" si="6"/>
      </c>
      <c r="N27" s="132">
        <f t="shared" si="7"/>
      </c>
      <c r="O27" s="132">
        <f t="shared" si="8"/>
        <v>0</v>
      </c>
      <c r="P27" s="132">
        <f>IF($C27="","",MAX(O$11:O26))</f>
      </c>
      <c r="Q27" s="138">
        <f t="shared" si="13"/>
      </c>
      <c r="R27" s="378">
        <f t="shared" si="0"/>
      </c>
      <c r="S27" s="423">
        <f t="shared" si="9"/>
      </c>
      <c r="T27" s="381">
        <f t="shared" si="14"/>
      </c>
      <c r="U27" s="221">
        <f t="shared" si="15"/>
      </c>
      <c r="V27" s="123">
        <f>SUM('LPH 1-4'!M27:P27)</f>
        <v>0</v>
      </c>
      <c r="W27" s="123">
        <f>SUM('LPH 5-7'!K27:N27)</f>
        <v>0</v>
      </c>
      <c r="X27" s="123">
        <f t="shared" si="10"/>
        <v>0</v>
      </c>
      <c r="Y27" s="123">
        <f t="shared" si="11"/>
        <v>0</v>
      </c>
      <c r="Z27" s="123">
        <f>IF(D27="","",SUM('LPH 1-4'!T27+'LPH 5-7'!R27+P27))</f>
      </c>
    </row>
    <row r="28" spans="1:26" ht="12.75">
      <c r="A28" s="147">
        <f t="shared" si="12"/>
      </c>
      <c r="B28" s="33">
        <f t="shared" si="16"/>
      </c>
      <c r="C28" s="134">
        <f>STAMMDATEN!L37</f>
      </c>
      <c r="D28" s="129">
        <f>IF(C28="","",STAMMDATEN!N37)</f>
      </c>
      <c r="E28" s="131">
        <f>IF($E$6="","",IF($C28="","",IF(STAMMDATEN!V37="",E27,STAMMDATEN!V37)))</f>
      </c>
      <c r="F28" s="132">
        <f t="shared" si="1"/>
      </c>
      <c r="G28" s="31"/>
      <c r="H28" s="31"/>
      <c r="I28" s="132">
        <f t="shared" si="2"/>
      </c>
      <c r="J28" s="132">
        <f t="shared" si="3"/>
      </c>
      <c r="K28" s="130">
        <f t="shared" si="4"/>
      </c>
      <c r="L28" s="130">
        <f t="shared" si="5"/>
      </c>
      <c r="M28" s="132">
        <f t="shared" si="6"/>
      </c>
      <c r="N28" s="132">
        <f t="shared" si="7"/>
      </c>
      <c r="O28" s="132">
        <f t="shared" si="8"/>
        <v>0</v>
      </c>
      <c r="P28" s="132">
        <f>IF($C28="","",MAX(O$11:O27))</f>
      </c>
      <c r="Q28" s="138">
        <f t="shared" si="13"/>
      </c>
      <c r="R28" s="378">
        <f t="shared" si="0"/>
      </c>
      <c r="S28" s="423">
        <f t="shared" si="9"/>
      </c>
      <c r="T28" s="381">
        <f t="shared" si="14"/>
      </c>
      <c r="U28" s="221">
        <f t="shared" si="15"/>
      </c>
      <c r="V28" s="123">
        <f>SUM('LPH 1-4'!M28:P28)</f>
        <v>0</v>
      </c>
      <c r="W28" s="123">
        <f>SUM('LPH 5-7'!K28:N28)</f>
        <v>0</v>
      </c>
      <c r="X28" s="123">
        <f t="shared" si="10"/>
        <v>0</v>
      </c>
      <c r="Y28" s="123">
        <f t="shared" si="11"/>
        <v>0</v>
      </c>
      <c r="Z28" s="123">
        <f>IF(D28="","",SUM('LPH 1-4'!T28+'LPH 5-7'!R28+P28))</f>
      </c>
    </row>
    <row r="29" spans="1:26" ht="12.75">
      <c r="A29" s="147">
        <f t="shared" si="12"/>
      </c>
      <c r="B29" s="33">
        <f t="shared" si="16"/>
      </c>
      <c r="C29" s="134">
        <f>STAMMDATEN!L38</f>
      </c>
      <c r="D29" s="129">
        <f>IF(C29="","",STAMMDATEN!N38)</f>
      </c>
      <c r="E29" s="131">
        <f>IF($E$6="","",IF($C29="","",IF(STAMMDATEN!V38="",E28,STAMMDATEN!V38)))</f>
      </c>
      <c r="F29" s="132">
        <f t="shared" si="1"/>
      </c>
      <c r="G29" s="31"/>
      <c r="H29" s="31"/>
      <c r="I29" s="132">
        <f t="shared" si="2"/>
      </c>
      <c r="J29" s="132">
        <f t="shared" si="3"/>
      </c>
      <c r="K29" s="130">
        <f t="shared" si="4"/>
      </c>
      <c r="L29" s="130">
        <f t="shared" si="5"/>
      </c>
      <c r="M29" s="132">
        <f t="shared" si="6"/>
      </c>
      <c r="N29" s="132">
        <f t="shared" si="7"/>
      </c>
      <c r="O29" s="132">
        <f t="shared" si="8"/>
        <v>0</v>
      </c>
      <c r="P29" s="132">
        <f>IF($C29="","",MAX(O$11:O28))</f>
      </c>
      <c r="Q29" s="138">
        <f t="shared" si="13"/>
      </c>
      <c r="R29" s="378">
        <f t="shared" si="0"/>
      </c>
      <c r="S29" s="423">
        <f t="shared" si="9"/>
      </c>
      <c r="T29" s="381">
        <f t="shared" si="14"/>
      </c>
      <c r="U29" s="221">
        <f t="shared" si="15"/>
      </c>
      <c r="V29" s="123">
        <f>SUM('LPH 1-4'!M29:P29)</f>
        <v>0</v>
      </c>
      <c r="W29" s="123">
        <f>SUM('LPH 5-7'!K29:N29)</f>
        <v>0</v>
      </c>
      <c r="X29" s="123">
        <f t="shared" si="10"/>
        <v>0</v>
      </c>
      <c r="Y29" s="123">
        <f t="shared" si="11"/>
        <v>0</v>
      </c>
      <c r="Z29" s="123">
        <f>IF(D29="","",SUM('LPH 1-4'!T29+'LPH 5-7'!R29+P29))</f>
      </c>
    </row>
    <row r="30" spans="1:26" ht="12.75">
      <c r="A30" s="147">
        <f t="shared" si="12"/>
      </c>
      <c r="B30" s="33">
        <f t="shared" si="16"/>
      </c>
      <c r="C30" s="134">
        <f>STAMMDATEN!L39</f>
      </c>
      <c r="D30" s="129">
        <f>IF(C30="","",STAMMDATEN!N39)</f>
      </c>
      <c r="E30" s="131">
        <f>IF($E$6="","",IF($C30="","",IF(STAMMDATEN!V39="",E29,STAMMDATEN!V39)))</f>
      </c>
      <c r="F30" s="132">
        <f>IF($F$3=0,"",IF(E30="","",IF($C30=0,"",IF($N$3="",(F$4*E30),IF($M$3="",(F$5*E30),IF($D30&gt;=$N$2,(F$5*E30),(F$4*E30)))))))</f>
      </c>
      <c r="G30" s="31"/>
      <c r="H30" s="31"/>
      <c r="I30" s="132">
        <f t="shared" si="2"/>
      </c>
      <c r="J30" s="132">
        <f t="shared" si="3"/>
      </c>
      <c r="K30" s="130">
        <f t="shared" si="4"/>
      </c>
      <c r="L30" s="130">
        <f>IF($A30="","",SUM(I30:J30)*L$10)</f>
      </c>
      <c r="M30" s="132">
        <f t="shared" si="6"/>
      </c>
      <c r="N30" s="132">
        <f t="shared" si="7"/>
      </c>
      <c r="O30" s="132">
        <f t="shared" si="8"/>
        <v>0</v>
      </c>
      <c r="P30" s="132">
        <f>IF($C30="","",MAX(O$11:O29))</f>
      </c>
      <c r="Q30" s="138">
        <f t="shared" si="13"/>
      </c>
      <c r="R30" s="378">
        <f t="shared" si="0"/>
      </c>
      <c r="S30" s="423">
        <f t="shared" si="9"/>
      </c>
      <c r="T30" s="381">
        <f t="shared" si="14"/>
      </c>
      <c r="U30" s="221">
        <f t="shared" si="15"/>
      </c>
      <c r="V30" s="123">
        <f>SUM('LPH 1-4'!M30:P30)</f>
        <v>0</v>
      </c>
      <c r="W30" s="123">
        <f>SUM('LPH 5-7'!K30:N30)</f>
        <v>0</v>
      </c>
      <c r="X30" s="123">
        <f t="shared" si="10"/>
        <v>0</v>
      </c>
      <c r="Y30" s="123">
        <f t="shared" si="11"/>
        <v>0</v>
      </c>
      <c r="Z30" s="123">
        <f>IF(D30="","",SUM('LPH 1-4'!T30+'LPH 5-7'!R30+P30))</f>
      </c>
    </row>
    <row r="31" spans="1:98" s="37" customFormat="1" ht="12.75" customHeight="1" thickBot="1">
      <c r="A31" s="144" t="s">
        <v>170</v>
      </c>
      <c r="B31" s="416">
        <f>IF(SUM(B11:B30)=0,"",MAX(B11:B30))</f>
      </c>
      <c r="C31" s="258">
        <f>MAX(C11:C30)</f>
        <v>2</v>
      </c>
      <c r="D31" s="38">
        <f>MAX(D11:D30)</f>
        <v>35921</v>
      </c>
      <c r="E31" s="131">
        <f>MAX(E11:E30)</f>
        <v>0</v>
      </c>
      <c r="F31" s="132">
        <f>MAX(F11:F30)</f>
        <v>0</v>
      </c>
      <c r="G31" s="34"/>
      <c r="H31" s="34"/>
      <c r="I31" s="195">
        <f aca="true" t="shared" si="17" ref="I31:P31">MAX(I11:I30)</f>
        <v>0</v>
      </c>
      <c r="J31" s="195">
        <f t="shared" si="17"/>
        <v>0</v>
      </c>
      <c r="K31" s="196">
        <f t="shared" si="17"/>
        <v>0</v>
      </c>
      <c r="L31" s="196">
        <f t="shared" si="17"/>
        <v>0</v>
      </c>
      <c r="M31" s="197">
        <f t="shared" si="17"/>
        <v>0</v>
      </c>
      <c r="N31" s="197">
        <f t="shared" si="17"/>
        <v>0</v>
      </c>
      <c r="O31" s="132">
        <f t="shared" si="17"/>
        <v>0</v>
      </c>
      <c r="P31" s="132">
        <f t="shared" si="17"/>
        <v>0</v>
      </c>
      <c r="Q31" s="147">
        <f>IF(S31=0,"","X")</f>
      </c>
      <c r="R31" s="529">
        <f>MAX(R11:R30)</f>
        <v>0</v>
      </c>
      <c r="S31" s="422">
        <f>MAX(S11:S30)</f>
        <v>0</v>
      </c>
      <c r="T31" s="382">
        <f>IF(S31=0,"",MAX(T11:T30))</f>
      </c>
      <c r="U31" s="425">
        <f>MAX(U12:U30)</f>
        <v>0</v>
      </c>
      <c r="V31" s="215">
        <f>SUM('LPH 1-4'!P32)</f>
        <v>0</v>
      </c>
      <c r="W31" s="215">
        <f>SUM('LPH 5-7'!N32)</f>
        <v>0</v>
      </c>
      <c r="X31" s="215">
        <f>SUM(L32)</f>
        <v>0</v>
      </c>
      <c r="Y31" s="215">
        <f>SUM(V31:X31)</f>
        <v>0</v>
      </c>
      <c r="Z31" s="215">
        <f>MAX(Z12:Z30)</f>
        <v>0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</row>
    <row r="32" spans="1:98" s="37" customFormat="1" ht="12.75" customHeight="1" thickBot="1">
      <c r="A32" s="145" t="s">
        <v>121</v>
      </c>
      <c r="B32" s="12"/>
      <c r="C32" s="12"/>
      <c r="D32" s="426"/>
      <c r="E32" s="139" t="s">
        <v>129</v>
      </c>
      <c r="F32" s="12"/>
      <c r="G32" s="12"/>
      <c r="H32" s="12"/>
      <c r="I32" s="374">
        <f>IF(J31=0,I31,J31)</f>
        <v>0</v>
      </c>
      <c r="J32" s="315" t="s">
        <v>205</v>
      </c>
      <c r="K32" s="196">
        <f>IF(L31=0,K31,L31)</f>
        <v>0</v>
      </c>
      <c r="L32" s="337">
        <f>SUM(I32:K32)</f>
        <v>0</v>
      </c>
      <c r="M32" s="397">
        <f>IF(N31=0,M31,N31)</f>
        <v>0</v>
      </c>
      <c r="N32" s="396" t="s">
        <v>229</v>
      </c>
      <c r="O32" s="167">
        <f>O31</f>
        <v>0</v>
      </c>
      <c r="P32" s="343"/>
      <c r="Q32" s="341"/>
      <c r="R32" s="379">
        <f>IF(I$38=0,"",SUM($E31,$G31)/I$38)</f>
        <v>0</v>
      </c>
      <c r="S32" s="420"/>
      <c r="T32" s="222"/>
      <c r="U32" s="69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</row>
    <row r="33" spans="1:98" s="37" customFormat="1" ht="12.75" customHeight="1">
      <c r="A33" s="147">
        <f>IF(C33="","",IF($M$2=0,$N$1,IF($N$2&lt;=D33,$N$1,$M$1)))</f>
      </c>
      <c r="B33" s="33">
        <f>IF(D33="","",IF(SUM(E31)=1,B31,IF($B$8&lt;=D33,$A$8,$A$7)))</f>
      </c>
      <c r="C33" s="134">
        <f>IF(STAMMDATEN!$L$49="","",STAMMDATEN!$L$49)</f>
      </c>
      <c r="D33" s="129">
        <f>IF(C33="","",STAMMDATEN!N49)</f>
      </c>
      <c r="E33" s="131">
        <f>IF($C$33="","",STAMMDATEN!V49)</f>
      </c>
      <c r="F33" s="132">
        <f>IF($D33="","",IF(E33="","",IF(SUM($E$31,$G$31)/$I$38=1,F$31,IF($D33&gt;=$N$2,SUM($F$5*E$33),SUM($F$4*E$33)))))</f>
      </c>
      <c r="G33" s="11">
        <f>IF($C$33=0,"",STAMMDATEN!W49)</f>
      </c>
      <c r="H33" s="130">
        <f>IF($D33="","",IF(G33="","",IF(SUM($E$31,$G$31)/$I$38=1,H$31,IF($D33&gt;=$N$2,SUM($H$5*G$33),SUM($H$4*G$33)))))</f>
      </c>
      <c r="I33" s="418">
        <f>IF($D33=0,"",IF(SUM(E$31,G$31)=SUM(E$33,G$33),I32,SUM(F33,H33)))</f>
        <v>0</v>
      </c>
      <c r="K33" s="196">
        <f>IF($D33=0,"",SUM(I$33*K10))</f>
        <v>0</v>
      </c>
      <c r="L33" s="95"/>
      <c r="M33" s="197">
        <f>IF($D33="","",SUM(I33:L33)*M10)</f>
      </c>
      <c r="N33" s="95">
        <f>SUM(I33:M33)</f>
        <v>0</v>
      </c>
      <c r="O33" s="132">
        <f>SUM(I33,K33,M33)</f>
        <v>0</v>
      </c>
      <c r="P33" s="132">
        <f>IF($D33="","",O32)</f>
      </c>
      <c r="Q33" s="147">
        <f>IF(S33="","","X")</f>
      </c>
      <c r="R33" s="529">
        <f>IF($B33="","",($B33*SUM(O33:O33)))</f>
      </c>
      <c r="S33" s="422">
        <f>IF($D33="","",IF($R32=1,"",IF($B33=$B31,"",SUM($A$8-$A$7)*SUM(O$32))))</f>
      </c>
      <c r="T33" s="382">
        <f>IF($B33="","",IF($B33=$B31,"",$C33))</f>
      </c>
      <c r="U33" s="425">
        <f>IF(T33=$C33,$D33,"")</f>
      </c>
      <c r="V33" s="215">
        <f>SUM('LPH 1-4'!M33:P33)</f>
        <v>0</v>
      </c>
      <c r="W33" s="215">
        <f>SUM('LPH 5-7'!K33:N33)</f>
        <v>0</v>
      </c>
      <c r="X33" s="215">
        <f t="shared" si="10"/>
        <v>0</v>
      </c>
      <c r="Y33" s="215">
        <f t="shared" si="11"/>
        <v>0</v>
      </c>
      <c r="Z33" s="215">
        <f>IF(D33="","",IF(Y31="","",Y31))</f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</row>
    <row r="34" spans="1:98" s="37" customFormat="1" ht="12.75" customHeight="1">
      <c r="A34" s="146" t="s">
        <v>122</v>
      </c>
      <c r="B34" s="12"/>
      <c r="C34" s="12"/>
      <c r="D34" s="426"/>
      <c r="E34" s="12"/>
      <c r="F34" s="12"/>
      <c r="G34" s="12"/>
      <c r="H34" s="12"/>
      <c r="I34" s="12"/>
      <c r="J34" s="12"/>
      <c r="K34" s="12"/>
      <c r="M34" s="12"/>
      <c r="P34" s="341"/>
      <c r="Q34" s="341"/>
      <c r="R34" s="379">
        <f>IF($B33="","",IF(R$32=1,"",SUM($E33,$G33)/I$38))</f>
      </c>
      <c r="S34" s="420"/>
      <c r="T34" s="222"/>
      <c r="U34" s="69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</row>
    <row r="35" spans="1:98" s="37" customFormat="1" ht="12.75" customHeight="1" thickBot="1">
      <c r="A35" s="147">
        <f>IF(C35="","",IF($M$2=0,$N$1,IF($N$2&lt;=D35,$N$1,$M$1)))</f>
      </c>
      <c r="B35" s="384">
        <f>IF(D35="","",IF(SUM(E$31,G$31)=SUM($E$35,$G$35),B$31,IF($B$8&lt;=$D35,$A$8,$A$7)))</f>
      </c>
      <c r="C35" s="134">
        <f>IF(STAMMDATEN!$L$53="","",STAMMDATEN!$L$53)</f>
      </c>
      <c r="D35" s="129">
        <f>IF(C35="","",STAMMDATEN!N53)</f>
      </c>
      <c r="E35" s="131">
        <f>IF(E$8="","",IF($C$35="","",1))</f>
      </c>
      <c r="F35" s="132">
        <f>IF($D35="","",IF(E35="","",IF(E35=E$31,F$31,IF($D35&gt;=N$2,SUM(F$5*E35),SUM(F$4*E35)))))</f>
      </c>
      <c r="G35" s="11">
        <f>IF(G$8="","",IF($C$35="","",1))</f>
      </c>
      <c r="H35" s="130">
        <f>IF($D35="","",IF(G35="","",IF(G35=G$31,H$31,IF($D35&gt;=$N$2,SUM(H$5*G35),SUM(H$4*G35)))))</f>
      </c>
      <c r="I35" s="418">
        <f>IF($D35="","",IF(SUM(E$31,G$31)=SUM(E$35,G$35),I32,SUM(F35,H35)))</f>
      </c>
      <c r="J35" s="12"/>
      <c r="K35" s="196">
        <f>IF($D35="","",SUM(I35*K10))</f>
      </c>
      <c r="M35" s="199">
        <f>IF($D35="","",SUM(I35:K35)*M10)</f>
      </c>
      <c r="O35" s="132">
        <f>SUM(I35,K35,M35)</f>
        <v>0</v>
      </c>
      <c r="P35" s="132">
        <f>IF($D35="","",MAX(O32:O33))</f>
      </c>
      <c r="Q35" s="147">
        <f>IF(S35="","","X")</f>
      </c>
      <c r="R35" s="529">
        <f>IF($B35="","",($B35*SUM(O35:O35)))</f>
      </c>
      <c r="S35" s="529">
        <f>IF($D35="","",IF(MAX(R32,R34)=1,"",IF($B35=MAX($B31,$B33),"",SUM($A$8-$A$7)*MAX(O32:O33))))</f>
      </c>
      <c r="T35" s="382">
        <f>IF($D35="","",IF($B35=MAX($B31:$B33),"",$C35))</f>
      </c>
      <c r="U35" s="425">
        <f>IF(T35=$C35,$D35,"")</f>
      </c>
      <c r="V35" s="215">
        <f>SUM('LPH 1-4'!M35:P35)</f>
        <v>0</v>
      </c>
      <c r="W35" s="215">
        <f>SUM('LPH 5-7'!K35:N35)</f>
        <v>0</v>
      </c>
      <c r="X35" s="215">
        <f t="shared" si="10"/>
        <v>0</v>
      </c>
      <c r="Y35" s="215">
        <f t="shared" si="11"/>
        <v>0</v>
      </c>
      <c r="Z35" s="215">
        <f>IF(D35="","",IF(Y33="","",MAX(Y31,Y33)))</f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</row>
    <row r="36" spans="1:98" s="37" customFormat="1" ht="12.75" customHeight="1" thickBot="1">
      <c r="A36" s="152" t="s">
        <v>167</v>
      </c>
      <c r="B36" s="12"/>
      <c r="C36" s="12"/>
      <c r="D36" s="427" t="s">
        <v>166</v>
      </c>
      <c r="E36" s="184">
        <f>MAX(E31:E35)</f>
        <v>0</v>
      </c>
      <c r="F36" s="28">
        <f>IF(SUM($D$33,$D$35)=0,F31,MAX(F33,F35))</f>
        <v>0</v>
      </c>
      <c r="G36" s="184">
        <f>MAX(G31:G35)</f>
        <v>0</v>
      </c>
      <c r="H36" s="28">
        <f>IF(SUM($D$33,$D$35)=0,H31,MAX(H33,H35))</f>
        <v>0</v>
      </c>
      <c r="I36" s="182">
        <f>SUM(F36,H36)</f>
        <v>0</v>
      </c>
      <c r="J36" s="315" t="s">
        <v>205</v>
      </c>
      <c r="K36" s="182">
        <f>IF(SUM($D$33,$D$35)=0,K32,MAX(K33,K35))</f>
        <v>0</v>
      </c>
      <c r="L36" s="337">
        <f>SUM(I36:K36)</f>
        <v>0</v>
      </c>
      <c r="M36" s="182">
        <f>IF(SUM($D$33,$D$35)=0,M32,MAX(M33,M35))</f>
        <v>0</v>
      </c>
      <c r="N36" s="415">
        <f>SUM(L36:M36)</f>
        <v>0</v>
      </c>
      <c r="P36" s="187">
        <f>MAX(P31:P35)</f>
        <v>0</v>
      </c>
      <c r="Q36" s="28"/>
      <c r="R36" s="6"/>
      <c r="S36" s="420"/>
      <c r="T36" s="222"/>
      <c r="U36" s="69"/>
      <c r="V36" s="6"/>
      <c r="W36" s="6"/>
      <c r="X36" s="42"/>
      <c r="Y36" s="527">
        <f>MAX(Y12:Y35)</f>
        <v>0</v>
      </c>
      <c r="Z36" s="526">
        <f>MAX(Z12:Z35)</f>
        <v>0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</row>
    <row r="37" spans="1:98" s="37" customFormat="1" ht="12.75" customHeight="1">
      <c r="A37" s="12" t="s">
        <v>220</v>
      </c>
      <c r="B37" s="12"/>
      <c r="C37" s="12"/>
      <c r="D37" s="426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6"/>
      <c r="S37" s="422">
        <f>MAX(S31:S35)</f>
        <v>0</v>
      </c>
      <c r="T37" s="222"/>
      <c r="U37" s="411"/>
      <c r="V37" s="12"/>
      <c r="W37" s="12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</row>
    <row r="38" spans="1:98" s="37" customFormat="1" ht="12.75" customHeight="1">
      <c r="A38" s="12"/>
      <c r="B38" s="364">
        <f>MAX(B31:B35)</f>
        <v>0</v>
      </c>
      <c r="C38" s="72">
        <f>IF(D38=D35,C35,IF(D38=D33,C33,IF(D38=D31,C31,"")))</f>
        <v>2</v>
      </c>
      <c r="D38" s="280">
        <f>IF(I38=0,"",IF(SUM(E31,G31)/I38=1,D31,MAX(D31:D35)))</f>
        <v>35921</v>
      </c>
      <c r="E38" s="12">
        <f>E9</f>
        <v>1</v>
      </c>
      <c r="F38" s="12"/>
      <c r="G38" s="12">
        <f>G9</f>
        <v>1</v>
      </c>
      <c r="H38" s="12"/>
      <c r="I38" s="43">
        <f>SUM(E9:G9)</f>
        <v>2</v>
      </c>
      <c r="J38" s="12"/>
      <c r="K38" s="12"/>
      <c r="L38" s="12"/>
      <c r="M38" s="12"/>
      <c r="N38" s="12"/>
      <c r="O38" s="12"/>
      <c r="P38" s="12"/>
      <c r="Q38" s="12"/>
      <c r="R38" s="222" t="s">
        <v>287</v>
      </c>
      <c r="S38" s="422">
        <f>SUM('LPH 1-4'!W38,'LPH 5-7'!U38,'LPH 8-9'!S37)</f>
        <v>0</v>
      </c>
      <c r="T38" s="217">
        <f>IF(Q31="X",50,IF(Q33="X",55,IF(Q35="X",60,"")))</f>
      </c>
      <c r="U38" s="390">
        <f>MAX($U$12:$U$35)</f>
        <v>0</v>
      </c>
      <c r="V38" s="12"/>
      <c r="W38" s="12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</row>
    <row r="39" spans="1:98" s="37" customFormat="1" ht="12.75" customHeight="1">
      <c r="A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222" t="s">
        <v>287</v>
      </c>
      <c r="T39" s="383">
        <f>IF(T38="","",1)</f>
      </c>
      <c r="U39" s="390">
        <f>MAX('LPH 1-4'!Y38,'LPH 5-7'!W38,'LPH 8-9'!U38)</f>
        <v>0</v>
      </c>
      <c r="V39" s="12"/>
      <c r="W39" s="12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</row>
    <row r="40" spans="3:98" s="37" customFormat="1" ht="12.75" customHeight="1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6"/>
      <c r="P40" s="6"/>
      <c r="Q40" s="6"/>
      <c r="R40" s="6"/>
      <c r="S40" s="420"/>
      <c r="T40" s="222"/>
      <c r="U40" s="411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</row>
    <row r="41" spans="3:98" s="37" customFormat="1" ht="12.75" customHeight="1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6"/>
      <c r="P41" s="341"/>
      <c r="Q41" s="341"/>
      <c r="R41" s="6"/>
      <c r="S41" s="420"/>
      <c r="T41" s="222"/>
      <c r="U41" s="411"/>
      <c r="V41" s="341"/>
      <c r="W41" s="341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</row>
    <row r="42" spans="3:98" s="37" customFormat="1" ht="12.75" customHeight="1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"/>
      <c r="P42" s="6"/>
      <c r="Q42" s="6"/>
      <c r="R42" s="6"/>
      <c r="S42" s="420"/>
      <c r="T42" s="222"/>
      <c r="U42" s="411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</row>
    <row r="43" spans="3:98" s="37" customFormat="1" ht="12.75" customHeight="1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  <c r="P43" s="6"/>
      <c r="Q43" s="6"/>
      <c r="R43" s="6"/>
      <c r="S43" s="420"/>
      <c r="T43" s="222"/>
      <c r="U43" s="411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</row>
    <row r="44" spans="3:98" s="37" customFormat="1" ht="12.75" customHeight="1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6"/>
      <c r="P44" s="6"/>
      <c r="Q44" s="6"/>
      <c r="R44" s="6"/>
      <c r="S44" s="420"/>
      <c r="T44" s="222"/>
      <c r="U44" s="411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</row>
    <row r="45" spans="3:98" s="37" customFormat="1" ht="20.25" customHeight="1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6"/>
      <c r="P45" s="6"/>
      <c r="Q45" s="6"/>
      <c r="R45" s="6"/>
      <c r="S45" s="420"/>
      <c r="T45" s="222"/>
      <c r="U45" s="411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</row>
    <row r="46" spans="3:98" s="37" customFormat="1" ht="12.75" customHeight="1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6"/>
      <c r="P46" s="6"/>
      <c r="Q46" s="6"/>
      <c r="R46" s="6"/>
      <c r="S46" s="420"/>
      <c r="T46" s="222"/>
      <c r="U46" s="411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</row>
    <row r="47" spans="3:98" s="37" customFormat="1" ht="12.75" customHeight="1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6"/>
      <c r="P47" s="6"/>
      <c r="Q47" s="6"/>
      <c r="R47" s="6"/>
      <c r="S47" s="420"/>
      <c r="T47" s="222"/>
      <c r="U47" s="411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</row>
    <row r="48" spans="1:14" ht="12.75" customHeight="1">
      <c r="A48" s="37"/>
      <c r="B48" s="37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75">
      <c r="A49" s="37"/>
      <c r="B49" s="37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75">
      <c r="A50" s="37"/>
      <c r="B50" s="37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>
      <c r="A51" s="37"/>
      <c r="B51" s="37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75">
      <c r="A52" s="37"/>
      <c r="B52" s="37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</sheetData>
  <sheetProtection password="CBC6" sheet="1" objects="1" scenarios="1"/>
  <mergeCells count="9">
    <mergeCell ref="M8:N8"/>
    <mergeCell ref="I10:J10"/>
    <mergeCell ref="A1:C1"/>
    <mergeCell ref="B8:C8"/>
    <mergeCell ref="K8:L8"/>
    <mergeCell ref="Q5:Q10"/>
    <mergeCell ref="T4:T10"/>
    <mergeCell ref="V8:X8"/>
    <mergeCell ref="V7:X7"/>
  </mergeCells>
  <printOptions horizontalCentered="1" verticalCentered="1"/>
  <pageMargins left="0.3937007874015748" right="0" top="0.3937007874015748" bottom="0" header="0" footer="0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Zeros="0" workbookViewId="0" topLeftCell="A1">
      <selection activeCell="H10" sqref="H10"/>
    </sheetView>
  </sheetViews>
  <sheetFormatPr defaultColWidth="11.421875" defaultRowHeight="12.75"/>
  <cols>
    <col min="1" max="1" width="3.140625" style="157" customWidth="1"/>
    <col min="2" max="2" width="11.140625" style="157" customWidth="1"/>
    <col min="3" max="3" width="11.7109375" style="157" customWidth="1"/>
    <col min="4" max="4" width="6.140625" style="157" customWidth="1"/>
    <col min="5" max="5" width="18.140625" style="157" customWidth="1"/>
    <col min="6" max="6" width="6.28125" style="157" customWidth="1"/>
    <col min="7" max="7" width="5.7109375" style="236" customWidth="1"/>
    <col min="8" max="8" width="11.421875" style="157" customWidth="1"/>
    <col min="9" max="9" width="5.00390625" style="157" customWidth="1"/>
    <col min="10" max="10" width="8.140625" style="157" customWidth="1"/>
    <col min="11" max="11" width="9.8515625" style="157" customWidth="1"/>
    <col min="12" max="12" width="5.00390625" style="157" customWidth="1"/>
    <col min="13" max="13" width="11.8515625" style="157" customWidth="1"/>
    <col min="14" max="14" width="5.8515625" style="157" bestFit="1" customWidth="1"/>
    <col min="15" max="15" width="12.57421875" style="157" customWidth="1"/>
    <col min="16" max="16" width="4.00390625" style="157" customWidth="1"/>
    <col min="17" max="16384" width="11.421875" style="157" customWidth="1"/>
  </cols>
  <sheetData>
    <row r="1" spans="1:16" ht="12.75">
      <c r="A1" s="157" t="str">
        <f>STAMMDATEN!B3</f>
        <v>Bauvorhaben:</v>
      </c>
      <c r="C1" s="218" t="str">
        <f>STAMMDATEN!C3</f>
        <v>Einfamilienwohnhaus</v>
      </c>
      <c r="D1" s="218"/>
      <c r="F1"/>
      <c r="G1"/>
      <c r="H1"/>
      <c r="M1" s="219"/>
      <c r="N1" s="220" t="s">
        <v>191</v>
      </c>
      <c r="O1" s="221">
        <f>MAX(STAMMDATEN!N49,STAMMDATEN!N53)</f>
        <v>0</v>
      </c>
      <c r="P1" s="222" t="str">
        <f>STAMMDATEN!F11</f>
        <v>til</v>
      </c>
    </row>
    <row r="2" spans="3:15" ht="12.75">
      <c r="C2" s="218" t="str">
        <f>STAMMDATEN!C4</f>
        <v>Reutlingen / Steinenbergstrasse 35</v>
      </c>
      <c r="E2" s="218"/>
      <c r="F2"/>
      <c r="G2"/>
      <c r="H2"/>
      <c r="I2" s="185" t="s">
        <v>95</v>
      </c>
      <c r="J2" s="236"/>
      <c r="M2" s="219"/>
      <c r="N2" s="220"/>
      <c r="O2" s="221"/>
    </row>
    <row r="3" spans="1:16" ht="12.75">
      <c r="A3" s="157" t="s">
        <v>321</v>
      </c>
      <c r="C3" s="594" t="str">
        <f>STAMMDATEN!C5</f>
        <v>00-2599</v>
      </c>
      <c r="E3" s="218"/>
      <c r="F3"/>
      <c r="G3"/>
      <c r="H3"/>
      <c r="I3" s="534" t="s">
        <v>293</v>
      </c>
      <c r="J3" s="234"/>
      <c r="K3" s="229"/>
      <c r="L3" s="229"/>
      <c r="M3" s="536"/>
      <c r="N3" s="583"/>
      <c r="O3" s="425"/>
      <c r="P3" s="168"/>
    </row>
    <row r="4" spans="1:13" ht="12.75">
      <c r="A4" s="157" t="str">
        <f>STAMMDATEN!B6</f>
        <v>Bauherrschaft:</v>
      </c>
      <c r="C4" s="219" t="str">
        <f>STAMMDATEN!C7</f>
        <v>Herr</v>
      </c>
      <c r="F4"/>
      <c r="G4"/>
      <c r="H4"/>
      <c r="I4" s="185" t="s">
        <v>309</v>
      </c>
      <c r="J4" s="236"/>
      <c r="M4" s="535" t="s">
        <v>186</v>
      </c>
    </row>
    <row r="5" spans="3:14" ht="12.75">
      <c r="C5" s="219" t="str">
        <f>STAMMDATEN!C8</f>
        <v>Justus Müller</v>
      </c>
      <c r="F5"/>
      <c r="G5"/>
      <c r="H5"/>
      <c r="I5" s="220" t="s">
        <v>294</v>
      </c>
      <c r="J5" s="74">
        <v>1</v>
      </c>
      <c r="K5" s="157" t="s">
        <v>307</v>
      </c>
      <c r="M5" s="353" t="s">
        <v>187</v>
      </c>
      <c r="N5" s="219" t="str">
        <f>IF(STAMMDATEN!A15="X",STAMMDATEN!B15,IF(STAMMDATEN!A16="X",STAMMDATEN!B16,IF(STAMMDATEN!A17="X",STAMMDATEN!B17,IF(STAMMDATEN!A18="X",STAMMDATEN!B18,IF(STAMMDATEN!A19="X",STAMMDATEN!B19,"")))))</f>
        <v>I §§ 11,12 HOAI</v>
      </c>
    </row>
    <row r="6" spans="3:14" ht="12.75">
      <c r="C6" s="219" t="str">
        <f>STAMMDATEN!C9</f>
        <v>Wendeplatte 19</v>
      </c>
      <c r="E6" s="218"/>
      <c r="F6"/>
      <c r="G6"/>
      <c r="H6"/>
      <c r="I6" s="220" t="s">
        <v>294</v>
      </c>
      <c r="J6" s="74">
        <v>0.5</v>
      </c>
      <c r="K6" s="157" t="s">
        <v>308</v>
      </c>
      <c r="M6" s="353" t="s">
        <v>188</v>
      </c>
      <c r="N6" s="219" t="str">
        <f>IF(STAMMDATEN!C15="X",STAMMDATEN!D15,IF(STAMMDATEN!C16="X",STAMMDATEN!D16,IF(STAMMDATEN!C17="X",STAMMDATEN!D17,IF(STAMMDATEN!C18="X",STAMMDATEN!D18,IF(STAMMDATEN!C19="X",STAMMDATEN!D19,"")))))</f>
        <v>Vonsatz</v>
      </c>
    </row>
    <row r="7" spans="3:16" ht="12.75">
      <c r="C7" s="219" t="str">
        <f>STAMMDATEN!C10</f>
        <v>70711 Stuttgart</v>
      </c>
      <c r="D7" s="219"/>
      <c r="E7" s="218"/>
      <c r="F7"/>
      <c r="G7"/>
      <c r="H7"/>
      <c r="I7" s="220" t="s">
        <v>294</v>
      </c>
      <c r="J7" s="74">
        <v>0.4</v>
      </c>
      <c r="K7" s="157" t="s">
        <v>310</v>
      </c>
      <c r="M7" s="151" t="str">
        <f>IF(P7=0,"Nebenkosten werden separat verrechnet","Nebenkosten")</f>
        <v>Nebenkosten werden separat verrechnet</v>
      </c>
      <c r="N7" s="219"/>
      <c r="O7" s="219"/>
      <c r="P7" s="223">
        <f>STAMMDATEN!F21</f>
        <v>0</v>
      </c>
    </row>
    <row r="8" spans="3:16" ht="12">
      <c r="C8" s="219"/>
      <c r="D8" s="219"/>
      <c r="E8" s="218"/>
      <c r="F8" s="218"/>
      <c r="J8" s="220"/>
      <c r="K8" s="236"/>
      <c r="M8" s="151" t="str">
        <f>IF(STAMMDATEN!$F29="","",STAMMDATEN!G29)</f>
        <v>Umbauzuschlag (ZU) gem. § 24 HOAI</v>
      </c>
      <c r="P8" s="223">
        <f>IF(STAMMDATEN!$F29="","",STAMMDATEN!F29)</f>
        <v>0.2</v>
      </c>
    </row>
    <row r="9" spans="1:7" ht="15">
      <c r="A9" s="224" t="s">
        <v>189</v>
      </c>
      <c r="B9" s="224"/>
      <c r="C9" s="224"/>
      <c r="D9" s="225" t="str">
        <f>IF(STAMMDATEN!$A28="X",STAMMDATEN!B28,IF(STAMMDATEN!$A29="X",STAMMDATEN!B29,IF(STAMMDATEN!$A30="X",STAMMDATEN!B30,"")))</f>
        <v>Gebäude</v>
      </c>
      <c r="G9" s="185"/>
    </row>
    <row r="10" spans="1:16" ht="15">
      <c r="A10" s="224" t="s">
        <v>190</v>
      </c>
      <c r="C10" s="226"/>
      <c r="D10" s="225" t="str">
        <f>IF(STAMMDATEN!$A28="X",STAMMDATEN!D28,IF(STAMMDATEN!$A29="X",STAMMDATEN!D29,IF(STAMMDATEN!$A30="X",STAMMDATEN!D30,"")))</f>
        <v>nach HOAI § 16</v>
      </c>
      <c r="G10" s="430"/>
      <c r="P10" s="5" t="str">
        <f ca="1">CELL("dateiname")</f>
        <v>D:\HOAI\aktuell16\[DEM§16_6.xls]BITTE LESEN !</v>
      </c>
    </row>
    <row r="11" spans="1:16" ht="11.25">
      <c r="A11" s="398" t="str">
        <f>IF('LPH 1-4'!P2&lt;='LPH 1-4'!R2,STAMMDATEN!$A$33,STAMMDATEN!$A$39)</f>
        <v>A </v>
      </c>
      <c r="B11" s="228" t="str">
        <f>IF('LPH 1-4'!P2&lt;='LPH 1-4'!R2,STAMMDATEN!$B$33,STAMMDATEN!$B$39)</f>
        <v>Kostenschätzung</v>
      </c>
      <c r="C11" s="229"/>
      <c r="D11" s="229"/>
      <c r="E11" s="229"/>
      <c r="F11" s="229"/>
      <c r="G11" s="234"/>
      <c r="H11" s="229"/>
      <c r="I11" s="229"/>
      <c r="J11" s="229"/>
      <c r="K11" s="229"/>
      <c r="L11" s="229"/>
      <c r="M11" s="229"/>
      <c r="N11" s="229"/>
      <c r="O11" s="229"/>
      <c r="P11" s="229"/>
    </row>
    <row r="12" spans="2:16" ht="24.75" customHeight="1">
      <c r="B12" s="157" t="s">
        <v>159</v>
      </c>
      <c r="C12" s="230" t="s">
        <v>172</v>
      </c>
      <c r="D12" s="231" t="s">
        <v>174</v>
      </c>
      <c r="E12" s="157" t="s">
        <v>53</v>
      </c>
      <c r="G12" s="431"/>
      <c r="H12" s="230" t="s">
        <v>199</v>
      </c>
      <c r="I12" s="230"/>
      <c r="J12" s="230" t="s">
        <v>171</v>
      </c>
      <c r="K12" s="232" t="s">
        <v>178</v>
      </c>
      <c r="L12" s="230"/>
      <c r="M12" s="232" t="str">
        <f>IF(M13=0,"",STAMMDATEN!$G$29)</f>
        <v>Umbauzuschlag (ZU) gem. § 24 HOAI</v>
      </c>
      <c r="N12" s="230"/>
      <c r="O12" s="222" t="s">
        <v>107</v>
      </c>
      <c r="P12" s="230"/>
    </row>
    <row r="13" spans="1:16" ht="11.25">
      <c r="A13" s="214">
        <v>1</v>
      </c>
      <c r="B13" s="521">
        <f>IF(STAMMDATEN!B35="","",IF('LPH 1-4'!P2&lt;='LPH 1-4'!$R$2,STAMMDATEN!B35*D20,STAMMDATEN!B41*D20))</f>
      </c>
      <c r="C13" s="521">
        <f>IF(STAMMDATEN!D35="","",IF('LPH 1-4'!P2&lt;='LPH 1-4'!$R$2,STAMMDATEN!D35*D20,STAMMDATEN!D41*D20))</f>
      </c>
      <c r="D13" s="596">
        <f>IF(C13="","",SUM(C13/B13))</f>
      </c>
      <c r="E13" s="157" t="s">
        <v>173</v>
      </c>
      <c r="I13" s="233"/>
      <c r="J13" s="233" t="s">
        <v>100</v>
      </c>
      <c r="K13" s="233"/>
      <c r="L13" s="233"/>
      <c r="M13" s="234">
        <f>STAMMDATEN!F29</f>
        <v>0.2</v>
      </c>
      <c r="N13" s="233"/>
      <c r="P13" s="233"/>
    </row>
    <row r="14" spans="1:16" ht="11.25">
      <c r="A14" s="214"/>
      <c r="B14" s="158" t="s">
        <v>176</v>
      </c>
      <c r="D14" s="235">
        <v>1</v>
      </c>
      <c r="E14" s="157" t="s">
        <v>24</v>
      </c>
      <c r="G14" s="236">
        <f>STAMMDATEN!O16</f>
        <v>0.03</v>
      </c>
      <c r="H14" s="123">
        <f>IF(C19="","",IF(G14="","",SUM($C$19*G14)))</f>
      </c>
      <c r="I14" s="233" t="str">
        <f>IF($G14="","",STAMMDATEN!$C$21)</f>
        <v>€</v>
      </c>
      <c r="J14" s="237">
        <f>IF(G14="","",IF(STAMMDATEN!O18="","",STAMMDATEN!O18))</f>
        <v>1</v>
      </c>
      <c r="K14" s="123">
        <f>IF(C19="","",IF(G14="","",H14*J14))</f>
      </c>
      <c r="L14" s="233" t="str">
        <f>IF($G14="","",STAMMDATEN!$C$21)</f>
        <v>€</v>
      </c>
      <c r="M14" s="123">
        <f>IF(C19="","",IF(G14="","",SUM($M$13*K14)))</f>
      </c>
      <c r="N14" s="233" t="str">
        <f>IF($G14="","",IF(M14=0,"",STAMMDATEN!$C$21))</f>
        <v>€</v>
      </c>
      <c r="O14" s="123">
        <f>SUM(K14,M14)</f>
        <v>0</v>
      </c>
      <c r="P14" s="233" t="str">
        <f>IF($G14="","",STAMMDATEN!$C$21)</f>
        <v>€</v>
      </c>
    </row>
    <row r="15" spans="1:16" ht="11.25">
      <c r="A15" s="214"/>
      <c r="B15" s="157" t="s">
        <v>175</v>
      </c>
      <c r="D15" s="238">
        <v>2</v>
      </c>
      <c r="E15" s="158" t="s">
        <v>25</v>
      </c>
      <c r="F15" s="158"/>
      <c r="G15" s="236">
        <f>STAMMDATEN!P16</f>
        <v>0.07</v>
      </c>
      <c r="H15" s="123">
        <f>IF(C19="","",IF(G15="","",SUM($C$19*G15)))</f>
      </c>
      <c r="I15" s="233" t="str">
        <f>IF($G15="","",STAMMDATEN!$C$21)</f>
        <v>€</v>
      </c>
      <c r="J15" s="237">
        <f>IF(G15="","",IF(STAMMDATEN!P$18="","",STAMMDATEN!P$18))</f>
        <v>1</v>
      </c>
      <c r="K15" s="123">
        <f>IF(C19="","",IF(G15="","",H15*J15))</f>
      </c>
      <c r="L15" s="233" t="str">
        <f>IF($G15="","",STAMMDATEN!$C$21)</f>
        <v>€</v>
      </c>
      <c r="M15" s="123">
        <f>IF(C19="","",IF(G15="","",SUM($M$13*K15)))</f>
      </c>
      <c r="N15" s="233" t="str">
        <f>IF($G15="","",IF(M15=0,"",STAMMDATEN!$C$21))</f>
        <v>€</v>
      </c>
      <c r="O15" s="123">
        <f>SUM(K15,M15)</f>
        <v>0</v>
      </c>
      <c r="P15" s="233" t="str">
        <f>IF($G15="","",STAMMDATEN!$C$21)</f>
        <v>€</v>
      </c>
    </row>
    <row r="16" spans="2:16" ht="11.25" customHeight="1">
      <c r="B16" s="157" t="s">
        <v>295</v>
      </c>
      <c r="D16" s="238">
        <v>3</v>
      </c>
      <c r="E16" s="157" t="s">
        <v>26</v>
      </c>
      <c r="G16" s="236">
        <f>STAMMDATEN!Q16</f>
        <v>0.11</v>
      </c>
      <c r="H16" s="123">
        <f>IF(C19="","",IF(G16="","",SUM($C$19*G16)))</f>
      </c>
      <c r="I16" s="233" t="str">
        <f>IF($G16="","",STAMMDATEN!$C$21)</f>
        <v>€</v>
      </c>
      <c r="J16" s="237">
        <f>IF(G16="","",IF(STAMMDATEN!Q$18="","",STAMMDATEN!Q$18))</f>
        <v>1</v>
      </c>
      <c r="K16" s="123">
        <f>IF(C19="","",IF(G16="","",H16*J16))</f>
      </c>
      <c r="L16" s="233" t="str">
        <f>IF($G16="","",STAMMDATEN!$C$21)</f>
        <v>€</v>
      </c>
      <c r="M16" s="123">
        <f>IF(C19="","",IF(G16="","",SUM($M$13*K16)))</f>
      </c>
      <c r="N16" s="233" t="str">
        <f>IF($G16="","",IF(M16=0,"",STAMMDATEN!$C$21))</f>
        <v>€</v>
      </c>
      <c r="O16" s="123">
        <f>SUM(K16,M16)</f>
        <v>0</v>
      </c>
      <c r="P16" s="233" t="str">
        <f>IF($G16="","",STAMMDATEN!$C$21)</f>
        <v>€</v>
      </c>
    </row>
    <row r="17" spans="1:17" ht="11.25">
      <c r="A17" s="214">
        <v>2</v>
      </c>
      <c r="B17" s="587">
        <f>IF(STAMMDATEN!$B$38="","",IF('LPH 1-4'!P2&lt;='LPH 1-4'!$R$2,STAMMDATEN!$B$38*D20,STAMMDATEN!$B$44*D20))</f>
      </c>
      <c r="D17" s="238">
        <v>4</v>
      </c>
      <c r="E17" s="157" t="s">
        <v>49</v>
      </c>
      <c r="G17" s="236">
        <f>STAMMDATEN!R16</f>
        <v>0.06</v>
      </c>
      <c r="H17" s="123">
        <f>IF(C19="","",IF(G17="","",SUM($C$19*G17)))</f>
      </c>
      <c r="I17" s="233" t="str">
        <f>IF($G17="","",STAMMDATEN!$C$21)</f>
        <v>€</v>
      </c>
      <c r="J17" s="237">
        <f>IF(G17="","",IF(STAMMDATEN!R$18="","",STAMMDATEN!R$18))</f>
        <v>1</v>
      </c>
      <c r="K17" s="123">
        <f>IF(C19="","",IF(G17="","",H17*J17))</f>
      </c>
      <c r="L17" s="233" t="str">
        <f>IF($G17="","",STAMMDATEN!$C$21)</f>
        <v>€</v>
      </c>
      <c r="M17" s="123">
        <f>IF(C19="","",IF(G17="","",SUM($M$13*K17)))</f>
      </c>
      <c r="N17" s="233" t="str">
        <f>IF($G17="","",IF(M17=0,"",STAMMDATEN!$C$21))</f>
        <v>€</v>
      </c>
      <c r="O17" s="239">
        <f>SUM(K17,M17)</f>
        <v>0</v>
      </c>
      <c r="P17" s="233" t="str">
        <f>IF($G17="","",STAMMDATEN!$C$21)</f>
        <v>€</v>
      </c>
      <c r="Q17" s="123"/>
    </row>
    <row r="18" spans="2:16" ht="11.25">
      <c r="B18" s="157" t="s">
        <v>297</v>
      </c>
      <c r="C18" s="521">
        <f>IF('LPH 1-4'!P2&lt;='LPH 1-4'!$R$2,STAMMDATEN!$G$35,STAMMDATEN!$G$41)</f>
      </c>
      <c r="E18" s="157" t="str">
        <f>IF(STAMMDATEN!$A$21="X","€ / Gebäude","DM / Gebäude")</f>
        <v>€ / Gebäude</v>
      </c>
      <c r="G18" s="234">
        <f>SUM(G14:G17)</f>
        <v>0.27</v>
      </c>
      <c r="H18" s="215">
        <f>IF(C19="","",SUM(G18*C19))</f>
      </c>
      <c r="I18" s="233"/>
      <c r="J18" s="237"/>
      <c r="K18" s="123"/>
      <c r="L18" s="233"/>
      <c r="M18" s="123" t="str">
        <f>IF(M19="","Nettosumme","Nettosumme 1")</f>
        <v>Nettosumme</v>
      </c>
      <c r="N18" s="233"/>
      <c r="O18" s="123">
        <f>SUM(O14:O17)</f>
        <v>0</v>
      </c>
      <c r="P18" s="233">
        <f>IF(O18=0,"",STAMMDATEN!$C$21)</f>
      </c>
    </row>
    <row r="19" spans="2:16" ht="11.25">
      <c r="B19" s="158" t="s">
        <v>197</v>
      </c>
      <c r="C19" s="171">
        <f>IF(B13="","",SUM(C18*D21))</f>
      </c>
      <c r="D19" s="552"/>
      <c r="E19" s="553"/>
      <c r="F19" s="553"/>
      <c r="H19" s="123"/>
      <c r="I19" s="233"/>
      <c r="J19" s="233"/>
      <c r="K19" s="123"/>
      <c r="L19" s="233"/>
      <c r="M19" s="123">
        <f>IF(N19=0,"","Nebenkosten")</f>
      </c>
      <c r="N19" s="236">
        <f>STAMMDATEN!$F$21</f>
        <v>0</v>
      </c>
      <c r="O19" s="123">
        <f>IF(N19="","",SUM(N19*O18))</f>
        <v>0</v>
      </c>
      <c r="P19" s="233">
        <f>IF(O19=0,"",STAMMDATEN!$C$21)</f>
      </c>
    </row>
    <row r="20" spans="2:16" ht="11.25">
      <c r="B20" s="584" t="s">
        <v>312</v>
      </c>
      <c r="C20" s="157" t="s">
        <v>311</v>
      </c>
      <c r="D20" s="222">
        <f>IF(STAMMDATEN!I34="",1,IF('LPH 1-4'!P2&lt;='LPH 1-4'!$R$2,STAMMDATEN!I34,STAMMDATEN!I40))</f>
        <v>1</v>
      </c>
      <c r="H20" s="123"/>
      <c r="I20" s="233"/>
      <c r="J20" s="233"/>
      <c r="K20" s="233"/>
      <c r="L20" s="233"/>
      <c r="M20" s="123">
        <f>IF(M19="","","Nettosumme 2")</f>
      </c>
      <c r="N20" s="233"/>
      <c r="O20" s="239">
        <f>IF(O19=0,"",SUM(O18:O19))</f>
      </c>
      <c r="P20" s="240">
        <f>IF(O20="","",STAMMDATEN!$C$21)</f>
      </c>
    </row>
    <row r="21" spans="2:16" ht="11.25">
      <c r="B21" s="151"/>
      <c r="C21" s="222" t="s">
        <v>296</v>
      </c>
      <c r="D21" s="585">
        <f>IF(D20="",1,IF(D20&gt;=5,SUM((D20-5)*0.4)+SUM((5-1)*0.5)+SUM(1*1),IF(D20&lt;=5,SUM((D20-1)*0.5)+SUM(1*1))))</f>
        <v>1</v>
      </c>
      <c r="H21" s="123"/>
      <c r="I21" s="233"/>
      <c r="K21" s="233"/>
      <c r="L21" s="233"/>
      <c r="M21" s="241" t="s">
        <v>179</v>
      </c>
      <c r="N21" s="185">
        <f>IF(A11="","",'LPH 1-4'!$B$38)</f>
      </c>
      <c r="O21" s="239">
        <f>IF(N21="","",IF(O20="",SUM(N21*O18),SUM(N21*O20)))</f>
      </c>
      <c r="P21" s="240" t="str">
        <f>IF(O21=0,"",STAMMDATEN!$C$21)</f>
        <v>€</v>
      </c>
    </row>
    <row r="22" spans="5:16" ht="12" thickBot="1">
      <c r="E22" s="242"/>
      <c r="F22" s="242"/>
      <c r="G22" s="388">
        <f>IF(STAMMDATEN!$F$19=N21,"Abrechnungsdatum: ","")</f>
      </c>
      <c r="H22" s="389">
        <f>IF(N21='LPH 1-4'!A8,"",'LPH 1-4'!$D$38)</f>
        <v>35921</v>
      </c>
      <c r="L22" s="227" t="str">
        <f>A11</f>
        <v>A </v>
      </c>
      <c r="M22" s="157" t="s">
        <v>177</v>
      </c>
      <c r="N22" s="222"/>
      <c r="O22" s="243">
        <f>IF(O20="",SUM(O18,O21),SUM(O20:O21))</f>
        <v>0</v>
      </c>
      <c r="P22" s="244" t="str">
        <f>STAMMDATEN!$C$21</f>
        <v>€</v>
      </c>
    </row>
    <row r="23" spans="1:16" ht="12" thickTop="1">
      <c r="A23" s="398" t="str">
        <f>IF('LPH 5-7'!N2&lt;='LPH 5-7'!P2,STAMMDATEN!$A$39,STAMMDATEN!$A$45)</f>
        <v>B</v>
      </c>
      <c r="B23" s="228" t="str">
        <f>IF('LPH 5-7'!N2&lt;='LPH 5-7'!P2,STAMMDATEN!$B$39,STAMMDATEN!$B$45)</f>
        <v>Kostenberechnung</v>
      </c>
      <c r="C23" s="229"/>
      <c r="D23" s="229"/>
      <c r="E23" s="229"/>
      <c r="F23" s="229"/>
      <c r="G23" s="234"/>
      <c r="H23" s="229"/>
      <c r="I23" s="229"/>
      <c r="J23" s="229"/>
      <c r="K23" s="229"/>
      <c r="L23" s="229"/>
      <c r="M23" s="229"/>
      <c r="N23" s="229"/>
      <c r="O23" s="229"/>
      <c r="P23" s="229"/>
    </row>
    <row r="24" spans="2:16" ht="24.75" customHeight="1">
      <c r="B24" s="157" t="s">
        <v>159</v>
      </c>
      <c r="C24" s="230" t="s">
        <v>172</v>
      </c>
      <c r="D24" s="231" t="s">
        <v>174</v>
      </c>
      <c r="E24" s="157" t="s">
        <v>54</v>
      </c>
      <c r="G24" s="431"/>
      <c r="H24" s="230" t="s">
        <v>214</v>
      </c>
      <c r="I24" s="230"/>
      <c r="J24" s="230" t="s">
        <v>171</v>
      </c>
      <c r="K24" s="230"/>
      <c r="L24" s="230"/>
      <c r="M24" s="232" t="str">
        <f>IF(M25=0,"",STAMMDATEN!$G$29)</f>
        <v>Umbauzuschlag (ZU) gem. § 24 HOAI</v>
      </c>
      <c r="N24" s="230"/>
      <c r="O24" s="222" t="s">
        <v>107</v>
      </c>
      <c r="P24" s="230"/>
    </row>
    <row r="25" spans="1:16" ht="11.25">
      <c r="A25" s="214">
        <v>1</v>
      </c>
      <c r="B25" s="521">
        <f>IF(STAMMDATEN!B41="","",IF('LPH 5-7'!N2&lt;='LPH 5-7'!P2,STAMMDATEN!B41*D32,STAMMDATEN!B47*D32))</f>
      </c>
      <c r="C25" s="521">
        <f>IF(STAMMDATEN!D41="","",IF('LPH 5-7'!N2&lt;='LPH 5-7'!P2,STAMMDATEN!D41*D32,STAMMDATEN!D47*D32))</f>
      </c>
      <c r="D25" s="596">
        <f>IF(C25="","",SUM(C25/B25))</f>
      </c>
      <c r="E25" s="157" t="s">
        <v>173</v>
      </c>
      <c r="I25" s="233"/>
      <c r="J25" s="233"/>
      <c r="K25" s="233"/>
      <c r="L25" s="233"/>
      <c r="M25" s="234">
        <f>STAMMDATEN!F29</f>
        <v>0.2</v>
      </c>
      <c r="N25" s="233"/>
      <c r="P25" s="233"/>
    </row>
    <row r="26" spans="1:16" ht="11.25">
      <c r="A26" s="214"/>
      <c r="B26" s="158" t="s">
        <v>176</v>
      </c>
      <c r="D26" s="235">
        <v>5</v>
      </c>
      <c r="E26" s="157" t="s">
        <v>27</v>
      </c>
      <c r="G26" s="236">
        <f>STAMMDATEN!S16</f>
        <v>0.25</v>
      </c>
      <c r="H26" s="123">
        <f>IF(C31="","",IF(G26="","",SUM($C$31*G26)))</f>
      </c>
      <c r="I26" s="233" t="str">
        <f>IF($G26="","",STAMMDATEN!$C$21)</f>
        <v>€</v>
      </c>
      <c r="J26" s="237">
        <f>IF(G26="","",IF(STAMMDATEN!S$18="","",STAMMDATEN!S$18))</f>
        <v>1</v>
      </c>
      <c r="K26" s="123">
        <f>IF(C31="","",IF(G26="","",H26*J26))</f>
      </c>
      <c r="L26" s="233" t="str">
        <f>IF($G26="","",STAMMDATEN!$C$21)</f>
        <v>€</v>
      </c>
      <c r="M26" s="123">
        <f>IF(C31="","",IF(G26="","",SUM($M$25*K26)))</f>
      </c>
      <c r="N26" s="233" t="str">
        <f>IF($G26="","",IF(M26=0,"",STAMMDATEN!$C$21))</f>
        <v>€</v>
      </c>
      <c r="O26" s="123">
        <f>SUM(K26,M26)</f>
        <v>0</v>
      </c>
      <c r="P26" s="233" t="str">
        <f>IF($G26="","",STAMMDATEN!$C$21)</f>
        <v>€</v>
      </c>
    </row>
    <row r="27" spans="1:16" ht="11.25">
      <c r="A27" s="214"/>
      <c r="B27" s="157" t="s">
        <v>175</v>
      </c>
      <c r="D27" s="235">
        <v>6</v>
      </c>
      <c r="E27" s="157" t="s">
        <v>28</v>
      </c>
      <c r="G27" s="236">
        <f>STAMMDATEN!T16</f>
        <v>0.1</v>
      </c>
      <c r="H27" s="123">
        <f>IF(C31="","",IF(G27="","",SUM($C$31*G27)))</f>
      </c>
      <c r="I27" s="233" t="str">
        <f>IF(G27="","",STAMMDATEN!$C$21)</f>
        <v>€</v>
      </c>
      <c r="J27" s="237">
        <f>IF(G27="","",IF(STAMMDATEN!T$18="","",STAMMDATEN!T$18))</f>
        <v>1</v>
      </c>
      <c r="K27" s="123">
        <f>IF(C31="","",IF(G27="","",H27*J27))</f>
      </c>
      <c r="L27" s="233" t="str">
        <f>IF($G27="","",STAMMDATEN!$C$21)</f>
        <v>€</v>
      </c>
      <c r="M27" s="123">
        <f>IF(C31="","",IF(G27="","",SUM($M$25*K27)))</f>
      </c>
      <c r="N27" s="233" t="str">
        <f>IF($G27="","",IF(M27=0,"",STAMMDATEN!$C$21))</f>
        <v>€</v>
      </c>
      <c r="O27" s="123">
        <f>SUM(K27,M27)</f>
        <v>0</v>
      </c>
      <c r="P27" s="233" t="str">
        <f>IF($G27="","",STAMMDATEN!$C$21)</f>
        <v>€</v>
      </c>
    </row>
    <row r="28" spans="2:16" ht="11.25">
      <c r="B28" s="157" t="s">
        <v>295</v>
      </c>
      <c r="D28" s="235">
        <v>7</v>
      </c>
      <c r="E28" s="157" t="s">
        <v>29</v>
      </c>
      <c r="G28" s="236">
        <f>STAMMDATEN!U16</f>
        <v>0.04</v>
      </c>
      <c r="H28" s="123">
        <f>IF(C31="","",IF(G28="","",SUM($C$31*G28)))</f>
      </c>
      <c r="I28" s="233" t="str">
        <f>IF(G28="","",STAMMDATEN!$C$21)</f>
        <v>€</v>
      </c>
      <c r="J28" s="237">
        <f>IF(G28="","",IF(STAMMDATEN!U$18="","",STAMMDATEN!U$18))</f>
        <v>1</v>
      </c>
      <c r="K28" s="123">
        <f>IF(C31="","",IF(G28="","",H28*J28))</f>
      </c>
      <c r="L28" s="233" t="str">
        <f>IF($G28="","",STAMMDATEN!$C$21)</f>
        <v>€</v>
      </c>
      <c r="M28" s="123">
        <f>IF(C31="","",IF(G28="","",SUM($M$25*K28)))</f>
      </c>
      <c r="N28" s="233" t="str">
        <f>IF($G28="","",IF(M28=0,"",STAMMDATEN!$C$21))</f>
        <v>€</v>
      </c>
      <c r="O28" s="239">
        <f>SUM(K28,M28)</f>
        <v>0</v>
      </c>
      <c r="P28" s="233" t="str">
        <f>IF($G28="","",STAMMDATEN!$C$21)</f>
        <v>€</v>
      </c>
    </row>
    <row r="29" spans="1:16" ht="11.25">
      <c r="A29" s="214">
        <v>2</v>
      </c>
      <c r="B29" s="587">
        <f>IF(STAMMDATEN!$B$44="","",IF('LPH 5-7'!N2&lt;='LPH 5-7'!P2,STAMMDATEN!$B$44*D32,STAMMDATEN!$B$50*D32))</f>
      </c>
      <c r="C29" s="222"/>
      <c r="D29" s="222"/>
      <c r="G29" s="234">
        <f>SUM(G26:G28)</f>
        <v>0.38999999999999996</v>
      </c>
      <c r="H29" s="215">
        <f>IF(C31="","",SUM(G29*C31))</f>
      </c>
      <c r="I29" s="233"/>
      <c r="J29" s="237"/>
      <c r="K29" s="123"/>
      <c r="L29" s="233"/>
      <c r="M29" s="123" t="str">
        <f>IF(M30="","Nettosumme","Nettosumme 1")</f>
        <v>Nettosumme</v>
      </c>
      <c r="N29" s="233"/>
      <c r="O29" s="123">
        <f>SUM(O25:O28)</f>
        <v>0</v>
      </c>
      <c r="P29" s="233">
        <f>IF(O29=0,"",STAMMDATEN!$C$21)</f>
      </c>
    </row>
    <row r="30" spans="2:16" ht="11.25">
      <c r="B30" s="157" t="s">
        <v>297</v>
      </c>
      <c r="C30" s="521">
        <f>IF('LPH 5-7'!N2&lt;='LPH 5-7'!P2,STAMMDATEN!$G$41,STAMMDATEN!$G$47)</f>
      </c>
      <c r="E30" s="157" t="str">
        <f>IF(STAMMDATEN!$A$21="X","€ / Gebäude","DM / Gebäude")</f>
        <v>€ / Gebäude</v>
      </c>
      <c r="H30" s="123"/>
      <c r="I30" s="233"/>
      <c r="J30" s="233"/>
      <c r="K30" s="233"/>
      <c r="L30" s="233"/>
      <c r="M30" s="123">
        <f>IF(N30=0,"","Nebenkosten")</f>
      </c>
      <c r="N30" s="236">
        <f>STAMMDATEN!$F$21</f>
        <v>0</v>
      </c>
      <c r="O30" s="123">
        <f>IF(N30="","",SUM(N30*O29))</f>
        <v>0</v>
      </c>
      <c r="P30" s="233">
        <f>IF(O30=0,"",STAMMDATEN!$C$21)</f>
      </c>
    </row>
    <row r="31" spans="2:16" ht="11.25">
      <c r="B31" s="158" t="s">
        <v>197</v>
      </c>
      <c r="C31" s="171">
        <f>IF(B25="","",SUM(C30*D33))</f>
      </c>
      <c r="E31" s="553"/>
      <c r="F31" s="553"/>
      <c r="H31" s="123"/>
      <c r="I31" s="233"/>
      <c r="J31" s="233"/>
      <c r="K31" s="233"/>
      <c r="L31" s="233"/>
      <c r="M31" s="123">
        <f>IF(M30="","","Nettosumme 2")</f>
      </c>
      <c r="N31" s="233"/>
      <c r="O31" s="239">
        <f>IF(O30=0,"",SUM(O29:O30))</f>
      </c>
      <c r="P31" s="240">
        <f>IF(O31="","",STAMMDATEN!$C$21)</f>
      </c>
    </row>
    <row r="32" spans="2:16" ht="11.25">
      <c r="B32" s="584" t="s">
        <v>312</v>
      </c>
      <c r="C32" s="157" t="s">
        <v>311</v>
      </c>
      <c r="D32" s="222">
        <f>IF(STAMMDATEN!I40="",1,IF('LPH 5-7'!N2&lt;='LPH 5-7'!P2,STAMMDATEN!I46,STAMMDATEN!I52))</f>
        <v>1</v>
      </c>
      <c r="H32" s="123"/>
      <c r="I32" s="233"/>
      <c r="J32" s="233"/>
      <c r="K32" s="233"/>
      <c r="L32" s="233"/>
      <c r="M32" s="241" t="s">
        <v>179</v>
      </c>
      <c r="N32" s="185">
        <f>IF(B25=0,"",'LPH 5-7'!$B$38)</f>
      </c>
      <c r="O32" s="239">
        <f>IF(N32="","",IF(O31="",SUM(N32*O29),SUM(N32*O31)))</f>
      </c>
      <c r="P32" s="245" t="str">
        <f>IF(O32=0,"",STAMMDATEN!$C$21)</f>
        <v>€</v>
      </c>
    </row>
    <row r="33" spans="2:16" ht="12" thickBot="1">
      <c r="B33" s="151"/>
      <c r="C33" s="222" t="s">
        <v>296</v>
      </c>
      <c r="D33" s="585">
        <f>IF(D32="",1,IF(D32&gt;=5,SUM((D32-5)*0.4)+SUM((5-1)*0.5)+SUM(1*1),IF(D32&lt;=5,SUM((D32-1)*0.5)+SUM(1*1))))</f>
        <v>1</v>
      </c>
      <c r="G33" s="388">
        <f>IF(STAMMDATEN!$F$19=N32,"Abrechnungsdatum: ","")</f>
      </c>
      <c r="H33" s="389">
        <f>IF(N32='LPH 5-7'!A8,"",'LPH 5-7'!$D$38)</f>
        <v>35921</v>
      </c>
      <c r="I33" s="233"/>
      <c r="J33" s="233"/>
      <c r="K33" s="233"/>
      <c r="L33" s="227" t="str">
        <f>A23</f>
        <v>B</v>
      </c>
      <c r="M33" s="157" t="s">
        <v>177</v>
      </c>
      <c r="N33" s="222"/>
      <c r="O33" s="243">
        <f>IF(O31="",SUM(O29,O32),SUM(O31:O32))</f>
        <v>0</v>
      </c>
      <c r="P33" s="244" t="str">
        <f>STAMMDATEN!$C$21</f>
        <v>€</v>
      </c>
    </row>
    <row r="34" spans="1:16" ht="12" thickTop="1">
      <c r="A34" s="398" t="str">
        <f>IF('LPH 8-9'!L2&lt;='LPH 8-9'!N2,STAMMDATEN!$A$45,STAMMDATEN!$A$51)</f>
        <v>C</v>
      </c>
      <c r="B34" s="228" t="str">
        <f>IF('LPH 8-9'!L2&lt;='LPH 8-9'!N2,STAMMDATEN!$B$45,STAMMDATEN!$B$51)</f>
        <v>Kostenanschlag</v>
      </c>
      <c r="C34" s="229"/>
      <c r="D34" s="229"/>
      <c r="E34" s="229"/>
      <c r="F34" s="229"/>
      <c r="G34" s="234"/>
      <c r="H34" s="229"/>
      <c r="I34" s="229"/>
      <c r="J34" s="229"/>
      <c r="K34" s="229"/>
      <c r="L34" s="229"/>
      <c r="M34" s="229"/>
      <c r="N34" s="229"/>
      <c r="O34" s="229"/>
      <c r="P34" s="229"/>
    </row>
    <row r="35" spans="2:16" ht="24.75" customHeight="1">
      <c r="B35" s="157" t="s">
        <v>159</v>
      </c>
      <c r="C35" s="230" t="s">
        <v>172</v>
      </c>
      <c r="D35" s="231" t="s">
        <v>174</v>
      </c>
      <c r="E35" s="157" t="s">
        <v>55</v>
      </c>
      <c r="G35" s="431"/>
      <c r="H35" s="230" t="s">
        <v>215</v>
      </c>
      <c r="I35" s="230"/>
      <c r="J35" s="230" t="s">
        <v>171</v>
      </c>
      <c r="K35" s="230"/>
      <c r="L35" s="230"/>
      <c r="M35" s="232" t="str">
        <f>IF(M36=0,"",STAMMDATEN!$G$29)</f>
        <v>Umbauzuschlag (ZU) gem. § 24 HOAI</v>
      </c>
      <c r="N35" s="230"/>
      <c r="O35" s="222" t="s">
        <v>107</v>
      </c>
      <c r="P35" s="230"/>
    </row>
    <row r="36" spans="1:16" ht="11.25">
      <c r="A36" s="214">
        <v>1</v>
      </c>
      <c r="B36" s="521">
        <f>IF(STAMMDATEN!$B$47="","",IF('LPH 8-9'!L2&lt;='LPH 8-9'!N2,STAMMDATEN!$B$47*D43,STAMMDATEN!$B$53*D43))</f>
      </c>
      <c r="C36" s="521">
        <f>IF(STAMMDATEN!D47="","",IF('LPH 8-9'!L2&lt;='LPH 8-9'!N2,STAMMDATEN!D47*D43,STAMMDATEN!D53*D43))</f>
      </c>
      <c r="D36" s="596">
        <f>IF(C36="","",SUM(C36/B36))</f>
      </c>
      <c r="E36" s="157" t="s">
        <v>173</v>
      </c>
      <c r="I36" s="233"/>
      <c r="J36" s="233"/>
      <c r="K36" s="233"/>
      <c r="L36" s="233"/>
      <c r="M36" s="234">
        <f>STAMMDATEN!F29</f>
        <v>0.2</v>
      </c>
      <c r="N36" s="233"/>
      <c r="P36" s="233"/>
    </row>
    <row r="37" spans="1:16" ht="11.25">
      <c r="A37" s="214"/>
      <c r="B37" s="158" t="s">
        <v>176</v>
      </c>
      <c r="D37" s="235">
        <v>8</v>
      </c>
      <c r="E37" s="157" t="s">
        <v>30</v>
      </c>
      <c r="G37" s="236">
        <f>STAMMDATEN!V16</f>
        <v>0.31</v>
      </c>
      <c r="H37" s="123">
        <f>IF(C42="","",IF(G37="","",SUM($C$42*G37)))</f>
      </c>
      <c r="I37" s="233" t="str">
        <f>IF(G37="","",STAMMDATEN!$C$21)</f>
        <v>€</v>
      </c>
      <c r="J37" s="237">
        <f>IF(G37="","",IF(STAMMDATEN!V$18="","",STAMMDATEN!V$18))</f>
        <v>1</v>
      </c>
      <c r="K37" s="123">
        <f>IF(C42="","",IF(G37="","",H37*J37))</f>
      </c>
      <c r="L37" s="233" t="str">
        <f>IF($G37="","",STAMMDATEN!$C$21)</f>
        <v>€</v>
      </c>
      <c r="M37" s="123">
        <f>IF(C42="","",IF(G37="","",SUM($M$13*K37)))</f>
      </c>
      <c r="N37" s="233" t="str">
        <f>IF($G37="","",IF(M37=0,"",STAMMDATEN!$C$21))</f>
        <v>€</v>
      </c>
      <c r="O37" s="123">
        <f>SUM(K37,M37)</f>
        <v>0</v>
      </c>
      <c r="P37" s="233" t="str">
        <f>IF($G37="","",STAMMDATEN!$C$21)</f>
        <v>€</v>
      </c>
    </row>
    <row r="38" spans="1:18" ht="11.25">
      <c r="A38" s="214"/>
      <c r="B38" s="157" t="s">
        <v>175</v>
      </c>
      <c r="D38" s="235">
        <v>9</v>
      </c>
      <c r="E38" s="157" t="s">
        <v>160</v>
      </c>
      <c r="G38" s="236">
        <f>STAMMDATEN!W16</f>
        <v>0.03</v>
      </c>
      <c r="H38" s="123">
        <f>IF(C42="","",IF(G38="","",SUM($C$42*G38)))</f>
      </c>
      <c r="I38" s="233" t="str">
        <f>IF(G38="","",STAMMDATEN!$C$21)</f>
        <v>€</v>
      </c>
      <c r="J38" s="237">
        <f>IF(G38="","",IF(STAMMDATEN!W$18="","",STAMMDATEN!W$18))</f>
        <v>1</v>
      </c>
      <c r="K38" s="123">
        <f>IF(C42="","",IF(G38="","",H38*J38))</f>
      </c>
      <c r="L38" s="233" t="str">
        <f>IF($G38="","",STAMMDATEN!$C$21)</f>
        <v>€</v>
      </c>
      <c r="M38" s="123">
        <f>IF(C42="","",IF(G38="","",SUM($M$13*K38)))</f>
      </c>
      <c r="N38" s="233" t="str">
        <f>IF($G38="","",IF(M38=0,"",STAMMDATEN!$C$21))</f>
        <v>€</v>
      </c>
      <c r="O38" s="239">
        <f>SUM(K38,M38)</f>
        <v>0</v>
      </c>
      <c r="P38" s="233" t="str">
        <f>IF($G38="","",STAMMDATEN!$C$21)</f>
        <v>€</v>
      </c>
      <c r="Q38" s="123"/>
      <c r="R38" s="233"/>
    </row>
    <row r="39" spans="2:18" ht="11.25" customHeight="1">
      <c r="B39" s="157" t="s">
        <v>295</v>
      </c>
      <c r="M39" s="123" t="str">
        <f>IF(M40="","Nettosumme","Nettosumme 1")</f>
        <v>Nettosumme</v>
      </c>
      <c r="N39" s="233"/>
      <c r="O39" s="123">
        <f>SUM(O37:O38)</f>
        <v>0</v>
      </c>
      <c r="P39" s="233">
        <f>IF(O39=0,"",STAMMDATEN!$C$21)</f>
      </c>
      <c r="Q39" s="123"/>
      <c r="R39" s="233"/>
    </row>
    <row r="40" spans="1:18" ht="11.25">
      <c r="A40" s="214">
        <v>2</v>
      </c>
      <c r="B40" s="587">
        <f>IF(STAMMDATEN!$B$50="","",IF('LPH 8-9'!D38&lt;='LPH 8-9'!N2,STAMMDATEN!$B$50*D43,STAMMDATEN!$B$56*D43))</f>
      </c>
      <c r="G40" s="234">
        <f>SUM(G37:G39)</f>
        <v>0.33999999999999997</v>
      </c>
      <c r="H40" s="215">
        <f>IF(C42="","",SUM(G40*C42))</f>
      </c>
      <c r="M40" s="123">
        <f>IF(N40=0,"","Nebenkosten")</f>
      </c>
      <c r="N40" s="236">
        <f>STAMMDATEN!$F$21</f>
        <v>0</v>
      </c>
      <c r="O40" s="123">
        <f>IF(N40="","",SUM(N40*O39))</f>
        <v>0</v>
      </c>
      <c r="P40" s="233">
        <f>IF(O40=0,"",STAMMDATEN!$C$21)</f>
      </c>
      <c r="Q40" s="123"/>
      <c r="R40" s="233"/>
    </row>
    <row r="41" spans="2:18" ht="11.25">
      <c r="B41" s="157" t="s">
        <v>297</v>
      </c>
      <c r="C41" s="521">
        <f>IF('LPH 8-9'!L2&lt;='LPH 8-9'!N2,STAMMDATEN!$G$47,STAMMDATEN!$G$53)</f>
      </c>
      <c r="E41" s="157" t="str">
        <f>IF(STAMMDATEN!$A$21="X","€ / Gebäude","DM / Gebäude")</f>
        <v>€ / Gebäude</v>
      </c>
      <c r="M41" s="123">
        <f>IF(M40="","","Nettosumme 2")</f>
      </c>
      <c r="N41" s="233"/>
      <c r="O41" s="239">
        <f>IF(O40=0,"",SUM(O39:O40))</f>
      </c>
      <c r="P41" s="240">
        <f>IF(O41="","",STAMMDATEN!$C$21)</f>
      </c>
      <c r="Q41" s="123"/>
      <c r="R41" s="233"/>
    </row>
    <row r="42" spans="2:18" ht="11.25">
      <c r="B42" s="158" t="s">
        <v>197</v>
      </c>
      <c r="C42" s="171">
        <f>IF(B36="","",SUM(C41*D44))</f>
      </c>
      <c r="E42" s="553"/>
      <c r="F42" s="553"/>
      <c r="M42" s="241" t="s">
        <v>179</v>
      </c>
      <c r="N42" s="185">
        <f>IF(B36=0,"",'LPH 8-9'!$B$38)</f>
        <v>0</v>
      </c>
      <c r="O42" s="239">
        <f>IF(N42="","",IF(O41="",SUM(N42*O39),SUM(N42*O41)))</f>
        <v>0</v>
      </c>
      <c r="P42" s="240">
        <f>IF(O42=0,"",STAMMDATEN!$C$21)</f>
      </c>
      <c r="Q42" s="123"/>
      <c r="R42" s="233"/>
    </row>
    <row r="43" spans="2:16" ht="12" thickBot="1">
      <c r="B43" s="584" t="s">
        <v>312</v>
      </c>
      <c r="C43" s="157" t="s">
        <v>311</v>
      </c>
      <c r="D43" s="222">
        <f>IF(STAMMDATEN!I40="",1,IF('LPH 8-9'!L2&lt;='LPH 8-9'!N2,STAMMDATEN!I46,STAMMDATEN!I52))</f>
        <v>1</v>
      </c>
      <c r="G43" s="388" t="s">
        <v>323</v>
      </c>
      <c r="H43" s="389">
        <f>MAX('LPH 8-9'!D33,'LPH 8-9'!D35)</f>
        <v>0</v>
      </c>
      <c r="L43" s="227" t="str">
        <f>A34</f>
        <v>C</v>
      </c>
      <c r="M43" s="157" t="s">
        <v>177</v>
      </c>
      <c r="N43" s="222"/>
      <c r="O43" s="243">
        <f>IF(O41="",SUM(O39,O42),SUM(O41:O42))</f>
        <v>0</v>
      </c>
      <c r="P43" s="244" t="str">
        <f>STAMMDATEN!$C$21</f>
        <v>€</v>
      </c>
    </row>
    <row r="44" spans="1:16" ht="13.5" thickTop="1">
      <c r="A44" s="229"/>
      <c r="B44" s="43"/>
      <c r="C44" s="138" t="s">
        <v>296</v>
      </c>
      <c r="D44" s="585">
        <f>IF(D43="",1,IF(D43&gt;=5,SUM((D43-5)*0.4)+SUM((5-1)*0.5)+SUM(1*1),IF(D43&lt;=5,SUM((D43-1)*0.5)+SUM(1*1))))</f>
        <v>1</v>
      </c>
      <c r="E44" s="229"/>
      <c r="F44" s="229"/>
      <c r="G44" s="234"/>
      <c r="H44" s="229"/>
      <c r="I44" s="229"/>
      <c r="J44" s="229"/>
      <c r="K44" s="229"/>
      <c r="L44" s="229"/>
      <c r="M44" s="229" t="s">
        <v>198</v>
      </c>
      <c r="N44" s="229"/>
      <c r="O44" s="246">
        <f>SUM(O22,O33,O43)</f>
        <v>0</v>
      </c>
      <c r="P44" s="247" t="str">
        <f>STAMMDATEN!$C$21</f>
        <v>€</v>
      </c>
    </row>
  </sheetData>
  <sheetProtection password="C611" sheet="1" objects="1" scenarios="1"/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Hubertus Tilmann</dc:creator>
  <cp:keywords/>
  <dc:description/>
  <cp:lastModifiedBy>Hubertus Tilmann</cp:lastModifiedBy>
  <cp:lastPrinted>2002-12-19T04:37:49Z</cp:lastPrinted>
  <dcterms:created xsi:type="dcterms:W3CDTF">2000-11-14T07:54:32Z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